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codeName="ThisWorkbook"/>
  <mc:AlternateContent xmlns:mc="http://schemas.openxmlformats.org/markup-compatibility/2006">
    <mc:Choice Requires="x15">
      <x15ac:absPath xmlns:x15ac="http://schemas.microsoft.com/office/spreadsheetml/2010/11/ac" url="/Users/antonio/Library/CloudStorage/Dropbox/SERVIDOR 2024/CADENA/CADENA 2024/HERRAMIENTAS COSTES/LIMON FINO BIO/"/>
    </mc:Choice>
  </mc:AlternateContent>
  <xr:revisionPtr revIDLastSave="0" documentId="8_{5B6B589B-C136-B649-BAA6-3BF0BEBE6712}" xr6:coauthVersionLast="47" xr6:coauthVersionMax="47" xr10:uidLastSave="{00000000-0000-0000-0000-000000000000}"/>
  <bookViews>
    <workbookView xWindow="0" yWindow="500" windowWidth="44800" windowHeight="22980" xr2:uid="{169AEC33-AF04-FB42-ABDA-9FD748E084C3}"/>
  </bookViews>
  <sheets>
    <sheet name="COSTES LIMÓN FINO ECO" sheetId="6" r:id="rId1"/>
    <sheet name="AYUDA-1" sheetId="9" r:id="rId2"/>
    <sheet name="AYUDA-2" sheetId="7" r:id="rId3"/>
    <sheet name="costes0" sheetId="1" state="veryHidden" r:id="rId4"/>
    <sheet name="Inversión" sheetId="2" state="veryHidden" r:id="rId5"/>
    <sheet name="COSTES" sheetId="3" state="veryHidden" r:id="rId6"/>
    <sheet name="UTA" sheetId="4" state="veryHidden" r:id="rId7"/>
    <sheet name="fertyfito" sheetId="5" state="veryHidden" r:id="rId8"/>
  </sheets>
  <definedNames>
    <definedName name="_xlnm.Print_Area" localSheetId="0">'COSTES LIMÓN FINO ECO'!$R$1:$W$85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 i="1" l="1"/>
  <c r="T88" i="6"/>
  <c r="C45" i="1"/>
  <c r="G4" i="2"/>
  <c r="I4" i="2" s="1"/>
  <c r="G5" i="2"/>
  <c r="I5" i="2" s="1"/>
  <c r="G9" i="2"/>
  <c r="I9" i="2" s="1"/>
  <c r="C10" i="2"/>
  <c r="D10" i="2" s="1"/>
  <c r="D4" i="2"/>
  <c r="D5" i="2"/>
  <c r="D6" i="2"/>
  <c r="G6" i="2" s="1"/>
  <c r="I6" i="2" s="1"/>
  <c r="D7" i="2"/>
  <c r="G7" i="2" s="1"/>
  <c r="I7" i="2" s="1"/>
  <c r="D8" i="2"/>
  <c r="G8" i="2" s="1"/>
  <c r="I8" i="2" s="1"/>
  <c r="D9" i="2"/>
  <c r="D3" i="2"/>
  <c r="G3" i="2" s="1"/>
  <c r="I3" i="2" s="1"/>
  <c r="N14" i="6"/>
  <c r="J59" i="6"/>
  <c r="N12" i="6"/>
  <c r="N18" i="6"/>
  <c r="N24" i="6"/>
  <c r="N67" i="6"/>
  <c r="T106" i="6"/>
  <c r="T104" i="6"/>
  <c r="T102" i="6"/>
  <c r="T100" i="6"/>
  <c r="T98" i="6"/>
  <c r="T96" i="6"/>
  <c r="T94" i="6"/>
  <c r="T92" i="6"/>
  <c r="T90" i="6"/>
  <c r="V85" i="6"/>
  <c r="V83" i="6"/>
  <c r="V82" i="6"/>
  <c r="V77" i="6"/>
  <c r="J77" i="6"/>
  <c r="V75" i="6"/>
  <c r="J75" i="6"/>
  <c r="V73" i="6"/>
  <c r="J73" i="6"/>
  <c r="Q73" i="6" s="1"/>
  <c r="V71" i="6"/>
  <c r="E71" i="6"/>
  <c r="J71" i="6"/>
  <c r="V69" i="6"/>
  <c r="J69" i="6"/>
  <c r="V67" i="6"/>
  <c r="J67" i="6"/>
  <c r="Q67" i="6" s="1"/>
  <c r="V65" i="6"/>
  <c r="J65" i="6"/>
  <c r="V63" i="6"/>
  <c r="J63" i="6"/>
  <c r="Q63" i="6" s="1"/>
  <c r="V61" i="6"/>
  <c r="J61" i="6"/>
  <c r="Q61" i="6"/>
  <c r="V59" i="6"/>
  <c r="V57" i="6"/>
  <c r="J57" i="6"/>
  <c r="V55" i="6"/>
  <c r="J55" i="6"/>
  <c r="V53" i="6"/>
  <c r="E51" i="6"/>
  <c r="V51" i="6" s="1"/>
  <c r="J53" i="6"/>
  <c r="V48" i="6"/>
  <c r="J48" i="6"/>
  <c r="V46" i="6"/>
  <c r="J46" i="6"/>
  <c r="V44" i="6"/>
  <c r="J44" i="6"/>
  <c r="V42" i="6"/>
  <c r="J42" i="6"/>
  <c r="V40" i="6"/>
  <c r="J40" i="6"/>
  <c r="V38" i="6"/>
  <c r="J38" i="6"/>
  <c r="V36" i="6"/>
  <c r="J36" i="6"/>
  <c r="V34" i="6"/>
  <c r="J34" i="6"/>
  <c r="V32" i="6"/>
  <c r="E30" i="6" s="1"/>
  <c r="J32" i="6"/>
  <c r="J30" i="6" s="1"/>
  <c r="J28" i="6"/>
  <c r="V22" i="6"/>
  <c r="V104" i="6"/>
  <c r="J26" i="6"/>
  <c r="J24" i="6"/>
  <c r="J18" i="6"/>
  <c r="J20" i="6" s="1"/>
  <c r="L20" i="6" s="1"/>
  <c r="J16" i="6"/>
  <c r="E22" i="6" s="1"/>
  <c r="AC6" i="6"/>
  <c r="AC4" i="6" s="1"/>
  <c r="AD4" i="6" s="1"/>
  <c r="H10" i="6" s="1"/>
  <c r="S2" i="6"/>
  <c r="C45" i="2"/>
  <c r="C39" i="2"/>
  <c r="C22" i="1"/>
  <c r="B8" i="4" s="1"/>
  <c r="C14" i="1"/>
  <c r="E15" i="5"/>
  <c r="C16" i="5"/>
  <c r="E16" i="5" s="1"/>
  <c r="L10" i="5"/>
  <c r="C14" i="5" s="1"/>
  <c r="E14" i="5" s="1"/>
  <c r="O8" i="5"/>
  <c r="K7" i="5"/>
  <c r="M6" i="5"/>
  <c r="L6" i="5"/>
  <c r="K6" i="5"/>
  <c r="K5" i="5"/>
  <c r="C2" i="5"/>
  <c r="C12" i="5" s="1"/>
  <c r="E12" i="5" s="1"/>
  <c r="L2" i="5"/>
  <c r="L8" i="5" s="1"/>
  <c r="W28" i="5"/>
  <c r="W19" i="5"/>
  <c r="X19" i="5" s="1"/>
  <c r="Z19" i="5" s="1"/>
  <c r="V13" i="5" s="1"/>
  <c r="C24" i="1" s="1"/>
  <c r="C3" i="4"/>
  <c r="C5" i="1"/>
  <c r="D5" i="1"/>
  <c r="C49" i="1"/>
  <c r="C46" i="1"/>
  <c r="C17" i="3"/>
  <c r="N59" i="6"/>
  <c r="Q59" i="6" s="1"/>
  <c r="C19" i="3"/>
  <c r="N63" i="6"/>
  <c r="C51" i="1"/>
  <c r="C4" i="4"/>
  <c r="C47" i="1"/>
  <c r="D40" i="1" s="1"/>
  <c r="C27" i="2"/>
  <c r="C33" i="1"/>
  <c r="C35" i="1" s="1"/>
  <c r="D28" i="1" s="1"/>
  <c r="C16" i="3" s="1"/>
  <c r="H7" i="1"/>
  <c r="H8" i="1"/>
  <c r="C52" i="1"/>
  <c r="C18" i="3"/>
  <c r="H18" i="3" s="1"/>
  <c r="N61" i="6"/>
  <c r="E4" i="4"/>
  <c r="B9" i="4" s="1"/>
  <c r="V24" i="6"/>
  <c r="V106" i="6"/>
  <c r="C14" i="3"/>
  <c r="N53" i="6"/>
  <c r="Q53" i="6"/>
  <c r="N2" i="5"/>
  <c r="N8" i="5" s="1"/>
  <c r="V20" i="6"/>
  <c r="V102" i="6"/>
  <c r="K2" i="5"/>
  <c r="K8" i="5" s="1"/>
  <c r="E5" i="4"/>
  <c r="N22" i="6"/>
  <c r="C25" i="3"/>
  <c r="N73" i="6"/>
  <c r="C2" i="4"/>
  <c r="C21" i="1"/>
  <c r="L18" i="6"/>
  <c r="D7" i="1"/>
  <c r="N16" i="6" s="1"/>
  <c r="N20" i="6"/>
  <c r="K23" i="3"/>
  <c r="M23" i="3" s="1"/>
  <c r="C15" i="3"/>
  <c r="D2" i="1"/>
  <c r="N57" i="6" l="1"/>
  <c r="Q57" i="6" s="1"/>
  <c r="D13" i="1"/>
  <c r="D54" i="1" s="1"/>
  <c r="D55" i="1" s="1"/>
  <c r="C22" i="3"/>
  <c r="Q38" i="6"/>
  <c r="J81" i="6"/>
  <c r="C5" i="3"/>
  <c r="N32" i="6"/>
  <c r="I10" i="2"/>
  <c r="C4" i="3" s="1"/>
  <c r="V30" i="6"/>
  <c r="V81" i="6" s="1"/>
  <c r="V16" i="6"/>
  <c r="V98" i="6" s="1"/>
  <c r="E81" i="6"/>
  <c r="V10" i="6"/>
  <c r="V92" i="6" s="1"/>
  <c r="V14" i="6"/>
  <c r="V96" i="6" s="1"/>
  <c r="C10" i="3"/>
  <c r="N42" i="6"/>
  <c r="Q42" i="6" s="1"/>
  <c r="C6" i="3"/>
  <c r="N34" i="6"/>
  <c r="Q34" i="6" s="1"/>
  <c r="N40" i="6"/>
  <c r="Q40" i="6" s="1"/>
  <c r="C9" i="3"/>
  <c r="Q44" i="6"/>
  <c r="C8" i="3"/>
  <c r="N38" i="6"/>
  <c r="C11" i="3"/>
  <c r="N44" i="6"/>
  <c r="E17" i="5"/>
  <c r="C7" i="3"/>
  <c r="N36" i="6"/>
  <c r="Q36" i="6" s="1"/>
  <c r="C13" i="5"/>
  <c r="E13" i="5" s="1"/>
  <c r="J22" i="6"/>
  <c r="N23" i="3"/>
  <c r="O23" i="3" s="1"/>
  <c r="M2" i="5"/>
  <c r="M8" i="5" s="1"/>
  <c r="J51" i="6"/>
  <c r="D22" i="1"/>
  <c r="N55" i="6"/>
  <c r="Q55" i="6" s="1"/>
  <c r="C23" i="3"/>
  <c r="N28" i="6"/>
  <c r="Q32" i="6"/>
  <c r="C20" i="5"/>
  <c r="C20" i="3"/>
  <c r="L3" i="3"/>
  <c r="L4" i="3"/>
  <c r="V8" i="6" l="1"/>
  <c r="Q22" i="6"/>
  <c r="C27" i="3"/>
  <c r="E23" i="3"/>
  <c r="N26" i="6"/>
  <c r="N71" i="6"/>
  <c r="Q71" i="6" s="1"/>
  <c r="N69" i="6"/>
  <c r="Q69" i="6" s="1"/>
  <c r="H23" i="3"/>
  <c r="N30" i="6"/>
  <c r="E8" i="3"/>
  <c r="E10" i="3"/>
  <c r="E5" i="3"/>
  <c r="N65" i="6"/>
  <c r="C13" i="3"/>
  <c r="I3" i="3" s="1"/>
  <c r="I7" i="3" l="1"/>
  <c r="I9" i="3" s="1"/>
  <c r="K21" i="3"/>
  <c r="E21" i="3"/>
  <c r="E27" i="3"/>
  <c r="E19" i="3"/>
  <c r="I8" i="3"/>
  <c r="C31" i="3"/>
  <c r="K22" i="3" s="1"/>
  <c r="E24" i="3"/>
  <c r="E25" i="3"/>
  <c r="E18" i="3"/>
  <c r="E16" i="3"/>
  <c r="E17" i="3"/>
  <c r="E15" i="3"/>
  <c r="E14" i="3"/>
  <c r="E13" i="3" s="1"/>
  <c r="E11" i="3"/>
  <c r="I4" i="3"/>
  <c r="L5" i="3"/>
  <c r="I5" i="3"/>
  <c r="I6" i="3"/>
  <c r="V90" i="6"/>
  <c r="V12" i="6"/>
  <c r="V94" i="6" s="1"/>
  <c r="N81" i="6"/>
  <c r="E6" i="3"/>
  <c r="E4" i="3" s="1"/>
  <c r="E22" i="3"/>
  <c r="E9" i="3"/>
  <c r="E20" i="3"/>
  <c r="Q65" i="6"/>
  <c r="N51" i="6"/>
  <c r="E7" i="3"/>
  <c r="N22" i="3" l="1"/>
  <c r="O22" i="3" s="1"/>
  <c r="M22" i="3"/>
  <c r="M21" i="3"/>
  <c r="N21" i="3"/>
  <c r="O2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PEDRO</author>
    <author>GARCIA GARCIA, JOSE</author>
  </authors>
  <commentList>
    <comment ref="E8" authorId="0" shapeId="0" xr:uid="{00EF03DB-8C96-A546-B652-9CDE8FD787C8}">
      <text>
        <r>
          <rPr>
            <b/>
            <sz val="9"/>
            <color rgb="FF000000"/>
            <rFont val="Tahoma"/>
            <family val="2"/>
          </rPr>
          <t>Introducir el titular de la explotación</t>
        </r>
        <r>
          <rPr>
            <sz val="9"/>
            <color rgb="FF000000"/>
            <rFont val="Tahoma"/>
            <family val="2"/>
          </rPr>
          <t xml:space="preserve">
</t>
        </r>
      </text>
    </comment>
    <comment ref="J10" authorId="0" shapeId="0" xr:uid="{6151473E-B7D2-DD4E-BD9F-CED524E7133C}">
      <text>
        <r>
          <rPr>
            <b/>
            <sz val="9"/>
            <color indexed="81"/>
            <rFont val="Tahoma"/>
            <family val="2"/>
          </rPr>
          <t xml:space="preserve">Lugar de la finca:
</t>
        </r>
        <r>
          <rPr>
            <sz val="9"/>
            <color indexed="81"/>
            <rFont val="Tahoma"/>
            <family val="2"/>
          </rPr>
          <t xml:space="preserve">(Paraje / Término Municipal)
</t>
        </r>
      </text>
    </comment>
    <comment ref="E12" authorId="0" shapeId="0" xr:uid="{88869CFC-CDEA-AF4F-A4BE-51E6A1BC9C45}">
      <text>
        <r>
          <rPr>
            <b/>
            <sz val="9"/>
            <color indexed="81"/>
            <rFont val="Tahoma"/>
            <family val="2"/>
          </rPr>
          <t xml:space="preserve">Introducir el Nº de hectáreas de la finca.
NOTA: </t>
        </r>
        <r>
          <rPr>
            <sz val="9"/>
            <color indexed="81"/>
            <rFont val="Tahoma"/>
            <family val="2"/>
          </rPr>
          <t>Para una Ha los valores normales serán cercanos a los de referencia</t>
        </r>
      </text>
    </comment>
    <comment ref="N12" authorId="0" shapeId="0" xr:uid="{D7E45C0D-2994-6649-BCA4-D3CBB6E137FE}">
      <text>
        <r>
          <rPr>
            <b/>
            <sz val="9"/>
            <color indexed="81"/>
            <rFont val="Tahoma"/>
            <family val="2"/>
          </rPr>
          <t xml:space="preserve">REFERENCIA PARA UNA HECTÁREA </t>
        </r>
        <r>
          <rPr>
            <sz val="9"/>
            <color indexed="81"/>
            <rFont val="Tahoma"/>
            <family val="2"/>
          </rPr>
          <t xml:space="preserve">
</t>
        </r>
      </text>
    </comment>
    <comment ref="E14" authorId="0" shapeId="0" xr:uid="{63DE1B44-6019-634F-AAB3-DBD6FFE635AF}">
      <text>
        <r>
          <rPr>
            <b/>
            <sz val="9"/>
            <color indexed="81"/>
            <rFont val="Tahoma"/>
            <family val="2"/>
          </rPr>
          <t>Introducir el precio unitario de la fruta en €/Kg</t>
        </r>
        <r>
          <rPr>
            <sz val="9"/>
            <color indexed="81"/>
            <rFont val="Tahoma"/>
            <family val="2"/>
          </rPr>
          <t xml:space="preserve">
</t>
        </r>
      </text>
    </comment>
    <comment ref="J14" authorId="0" shapeId="0" xr:uid="{DC7AD643-97CA-8247-8D18-11B7AC7DF20D}">
      <text>
        <r>
          <rPr>
            <b/>
            <sz val="9"/>
            <color indexed="81"/>
            <rFont val="Tahoma"/>
            <family val="2"/>
          </rPr>
          <t>Introducir el precio unitario del destrío en €</t>
        </r>
        <r>
          <rPr>
            <sz val="9"/>
            <color indexed="81"/>
            <rFont val="Tahoma"/>
            <family val="2"/>
          </rPr>
          <t xml:space="preserve">
</t>
        </r>
      </text>
    </comment>
    <comment ref="L14" authorId="0" shapeId="0" xr:uid="{26364B7C-CD5B-E24E-8926-62892C1AFC41}">
      <text>
        <r>
          <rPr>
            <b/>
            <sz val="9"/>
            <color indexed="81"/>
            <rFont val="Tahoma"/>
            <family val="2"/>
          </rPr>
          <t>Introducir el precio unitario del destrío en €/kg</t>
        </r>
        <r>
          <rPr>
            <sz val="9"/>
            <color indexed="81"/>
            <rFont val="Tahoma"/>
            <family val="2"/>
          </rPr>
          <t xml:space="preserve">
</t>
        </r>
      </text>
    </comment>
    <comment ref="N14" authorId="0" shapeId="0" xr:uid="{B5BBE253-C721-A94B-BE68-05CB3476F63B}">
      <text>
        <r>
          <rPr>
            <b/>
            <sz val="9"/>
            <color indexed="81"/>
            <rFont val="Tahoma"/>
            <family val="2"/>
          </rPr>
          <t xml:space="preserve">REFERENCIA PARA UNA HECTÁREA Producto bruto (Kg/Ha) y precio en €/Kg de limón para fresco
</t>
        </r>
        <r>
          <rPr>
            <sz val="9"/>
            <color indexed="81"/>
            <rFont val="Tahoma"/>
            <family val="2"/>
          </rPr>
          <t xml:space="preserve">
</t>
        </r>
      </text>
    </comment>
    <comment ref="S14" authorId="1" shapeId="0" xr:uid="{C391487A-6CCA-3F41-81D5-2E122F367FAE}">
      <text>
        <r>
          <rPr>
            <b/>
            <sz val="9"/>
            <color rgb="FF000000"/>
            <rFont val="Tahoma"/>
            <family val="2"/>
          </rPr>
          <t xml:space="preserve">Productividad mínima Neta (Kg/Ha) descontando destríos </t>
        </r>
        <r>
          <rPr>
            <sz val="9"/>
            <color rgb="FF000000"/>
            <rFont val="Tahoma"/>
            <family val="2"/>
          </rPr>
          <t xml:space="preserve">que hay que producir para que la explotación sea viable
</t>
        </r>
      </text>
    </comment>
    <comment ref="E16" authorId="0" shapeId="0" xr:uid="{A9A0D756-0E30-8940-AA4E-BF33A2EC2B7C}">
      <text>
        <r>
          <rPr>
            <b/>
            <sz val="9"/>
            <color indexed="81"/>
            <rFont val="Tahoma"/>
            <family val="2"/>
          </rPr>
          <t>Introducir la producción bruta de la finca en Kg (totales)</t>
        </r>
        <r>
          <rPr>
            <sz val="9"/>
            <color indexed="81"/>
            <rFont val="Tahoma"/>
            <family val="2"/>
          </rPr>
          <t xml:space="preserve">
</t>
        </r>
      </text>
    </comment>
    <comment ref="N16" authorId="0" shapeId="0" xr:uid="{02D67327-9F90-E44D-B9B5-9B02F63C7985}">
      <text>
        <r>
          <rPr>
            <b/>
            <sz val="9"/>
            <color indexed="81"/>
            <rFont val="Tahoma"/>
            <family val="2"/>
          </rPr>
          <t>REFERENCIA PARA UNA HECTÁREA Producción bruta de la finca en €/Ha</t>
        </r>
        <r>
          <rPr>
            <sz val="9"/>
            <color indexed="81"/>
            <rFont val="Tahoma"/>
            <family val="2"/>
          </rPr>
          <t xml:space="preserve">
</t>
        </r>
      </text>
    </comment>
    <comment ref="S16" authorId="1" shapeId="0" xr:uid="{5EE68E5C-315A-454A-9677-2AB55D6E74B3}">
      <text>
        <r>
          <rPr>
            <b/>
            <sz val="9"/>
            <color rgb="FF000000"/>
            <rFont val="Tahoma"/>
            <family val="2"/>
          </rPr>
          <t xml:space="preserve">Coste medio de produccion 
</t>
        </r>
        <r>
          <rPr>
            <sz val="9"/>
            <color rgb="FF000000"/>
            <rFont val="Tahoma"/>
            <family val="2"/>
          </rPr>
          <t xml:space="preserve">UMBRAL DE RENTABILIDAD Coste medio por kg de fruta fresca producida
</t>
        </r>
        <r>
          <rPr>
            <sz val="9"/>
            <color rgb="FF000000"/>
            <rFont val="Tahoma"/>
            <family val="2"/>
          </rPr>
          <t xml:space="preserve">
</t>
        </r>
      </text>
    </comment>
    <comment ref="G18" authorId="0" shapeId="0" xr:uid="{309DD104-96D7-FC4B-A392-75DCA641F3D0}">
      <text>
        <r>
          <rPr>
            <b/>
            <sz val="9"/>
            <color indexed="81"/>
            <rFont val="Tahoma"/>
            <family val="2"/>
          </rPr>
          <t>Introducir el porcentaje total de destrío</t>
        </r>
        <r>
          <rPr>
            <sz val="9"/>
            <color indexed="81"/>
            <rFont val="Tahoma"/>
            <family val="2"/>
          </rPr>
          <t xml:space="preserve">
</t>
        </r>
      </text>
    </comment>
    <comment ref="J18" authorId="0" shapeId="0" xr:uid="{7E76317F-93DE-4340-A389-B4A8EC9D3F0A}">
      <text>
        <r>
          <rPr>
            <sz val="9"/>
            <color indexed="81"/>
            <rFont val="Tahoma"/>
            <family val="2"/>
          </rPr>
          <t xml:space="preserve">Kg de destrío
</t>
        </r>
      </text>
    </comment>
    <comment ref="L18" authorId="0" shapeId="0" xr:uid="{6724A450-D8B4-3C46-9909-F687F96E295E}">
      <text>
        <r>
          <rPr>
            <sz val="9"/>
            <color indexed="81"/>
            <rFont val="Tahoma"/>
            <family val="2"/>
          </rPr>
          <t xml:space="preserve">Kg/Ha de destrío
</t>
        </r>
      </text>
    </comment>
    <comment ref="N18" authorId="0" shapeId="0" xr:uid="{A3479AD5-D566-164F-B845-485E043743C5}">
      <text>
        <r>
          <rPr>
            <b/>
            <sz val="9"/>
            <color indexed="81"/>
            <rFont val="Tahoma"/>
            <family val="2"/>
          </rPr>
          <t>REFERENCIA PARA UNA HECTÁREA Porcentaje y Precio del destrío €/Kg</t>
        </r>
        <r>
          <rPr>
            <sz val="9"/>
            <color indexed="81"/>
            <rFont val="Tahoma"/>
            <family val="2"/>
          </rPr>
          <t xml:space="preserve">
</t>
        </r>
      </text>
    </comment>
    <comment ref="J20" authorId="0" shapeId="0" xr:uid="{EBF9714E-2597-7546-8305-E1C71CDE0D64}">
      <text>
        <r>
          <rPr>
            <sz val="9"/>
            <color indexed="81"/>
            <rFont val="Tahoma"/>
            <family val="2"/>
          </rPr>
          <t>Precio total del destrío</t>
        </r>
      </text>
    </comment>
    <comment ref="L20" authorId="0" shapeId="0" xr:uid="{07A464A0-5D76-D641-8B78-1BC6C292AA9B}">
      <text>
        <r>
          <rPr>
            <sz val="9"/>
            <color indexed="81"/>
            <rFont val="Tahoma"/>
            <family val="2"/>
          </rPr>
          <t xml:space="preserve">Precio del destrío / Hectárea
</t>
        </r>
      </text>
    </comment>
    <comment ref="N20" authorId="0" shapeId="0" xr:uid="{A831D8FF-0C9A-8842-A9B8-0200660181A0}">
      <text>
        <r>
          <rPr>
            <b/>
            <sz val="9"/>
            <color indexed="81"/>
            <rFont val="Tahoma"/>
            <family val="2"/>
          </rPr>
          <t>REFERENCIA PARA UNA HECTÁREA Kg/Ha del Destrío y valor del destrío en €/Ha</t>
        </r>
        <r>
          <rPr>
            <sz val="9"/>
            <color indexed="81"/>
            <rFont val="Tahoma"/>
            <family val="2"/>
          </rPr>
          <t xml:space="preserve">
</t>
        </r>
      </text>
    </comment>
    <comment ref="S20" authorId="0" shapeId="0" xr:uid="{CB7B5D21-78F9-0D4A-95CF-8351933195AE}">
      <text>
        <r>
          <rPr>
            <b/>
            <sz val="9"/>
            <color indexed="81"/>
            <rFont val="Tahoma"/>
            <family val="2"/>
          </rPr>
          <t xml:space="preserve">Productividad técnica  del agua
</t>
        </r>
        <r>
          <rPr>
            <sz val="9"/>
            <color indexed="81"/>
            <rFont val="Tahoma"/>
            <family val="2"/>
          </rPr>
          <t>Producción Bruta en Kg por cada m3 de agua consumido</t>
        </r>
      </text>
    </comment>
    <comment ref="C22" authorId="0" shapeId="0" xr:uid="{E42C9EEF-E520-0F46-BAAF-58CEEF4CD527}">
      <text>
        <r>
          <rPr>
            <b/>
            <sz val="9"/>
            <color indexed="81"/>
            <rFont val="Tahoma"/>
            <family val="2"/>
          </rPr>
          <t>PRODUCCIÓN NETA (Contando el Destrío)</t>
        </r>
        <r>
          <rPr>
            <sz val="9"/>
            <color indexed="81"/>
            <rFont val="Tahoma"/>
            <family val="2"/>
          </rPr>
          <t xml:space="preserve">
</t>
        </r>
      </text>
    </comment>
    <comment ref="N22" authorId="0" shapeId="0" xr:uid="{28E18CC5-3BF5-2841-A591-D37D499B6A9F}">
      <text>
        <r>
          <rPr>
            <b/>
            <sz val="9"/>
            <color indexed="81"/>
            <rFont val="Tahoma"/>
            <family val="2"/>
          </rPr>
          <t>REFERENCIA PARA UNA HECTÁREA Producción Neta de la finca en €/Ha (aquí está descontado el destrío)</t>
        </r>
        <r>
          <rPr>
            <sz val="9"/>
            <color indexed="81"/>
            <rFont val="Tahoma"/>
            <family val="2"/>
          </rPr>
          <t xml:space="preserve">
</t>
        </r>
      </text>
    </comment>
    <comment ref="S22" authorId="0" shapeId="0" xr:uid="{2A4A6011-FA4D-0742-A9A8-E6E950B84DE2}">
      <text>
        <r>
          <rPr>
            <b/>
            <sz val="9"/>
            <color indexed="81"/>
            <rFont val="Tahoma"/>
            <family val="2"/>
          </rPr>
          <t xml:space="preserve">PRODUCTIVA ECONOMICA BRUTA AGUA Euros / m3
</t>
        </r>
        <r>
          <rPr>
            <sz val="9"/>
            <color indexed="81"/>
            <rFont val="Tahoma"/>
            <family val="2"/>
          </rPr>
          <t>Ingresos brutos en euros por cada m3 de agua consumido</t>
        </r>
      </text>
    </comment>
    <comment ref="E24" authorId="0" shapeId="0" xr:uid="{D2D2B2FC-D85C-F640-A0FF-AE8F425D98A6}">
      <text>
        <r>
          <rPr>
            <b/>
            <sz val="9"/>
            <color indexed="81"/>
            <rFont val="Tahoma"/>
            <family val="2"/>
          </rPr>
          <t>Introducir el coste unitario del agua en €/m3</t>
        </r>
      </text>
    </comment>
    <comment ref="N24" authorId="0" shapeId="0" xr:uid="{C9577461-7693-4342-801E-81BCBADDEB12}">
      <text>
        <r>
          <rPr>
            <b/>
            <sz val="9"/>
            <color indexed="81"/>
            <rFont val="Tahoma"/>
            <family val="2"/>
          </rPr>
          <t>REFERENCIA PARA UNA HECTÁREA     Precio unitario del Agua en €/m3</t>
        </r>
        <r>
          <rPr>
            <sz val="9"/>
            <color indexed="81"/>
            <rFont val="Tahoma"/>
            <family val="2"/>
          </rPr>
          <t xml:space="preserve">
</t>
        </r>
      </text>
    </comment>
    <comment ref="S24" authorId="1" shapeId="0" xr:uid="{361A619B-799D-3944-B155-0727DA35101C}">
      <text>
        <r>
          <rPr>
            <b/>
            <sz val="9"/>
            <color rgb="FF000000"/>
            <rFont val="Tahoma"/>
            <family val="2"/>
          </rPr>
          <t>PRODUCTIVIDAD ECONÓMICA NETA AGUA</t>
        </r>
        <r>
          <rPr>
            <sz val="9"/>
            <color rgb="FF000000"/>
            <rFont val="Tahoma"/>
            <family val="2"/>
          </rPr>
          <t xml:space="preserve">
</t>
        </r>
        <r>
          <rPr>
            <sz val="9"/>
            <color rgb="FF000000"/>
            <rFont val="Tahoma"/>
            <family val="2"/>
          </rPr>
          <t xml:space="preserve">
</t>
        </r>
        <r>
          <rPr>
            <sz val="9"/>
            <color rgb="FF000000"/>
            <rFont val="Tahoma"/>
            <family val="2"/>
          </rPr>
          <t xml:space="preserve">Margen Neto en Euros entre el agua consumida
</t>
        </r>
        <r>
          <rPr>
            <sz val="9"/>
            <color rgb="FF000000"/>
            <rFont val="Tahoma"/>
            <family val="2"/>
          </rPr>
          <t xml:space="preserve">
</t>
        </r>
        <r>
          <rPr>
            <sz val="9"/>
            <color rgb="FF000000"/>
            <rFont val="Tahoma"/>
            <family val="2"/>
          </rPr>
          <t xml:space="preserve">Margen Neto = Ingresos -  Costes
</t>
        </r>
        <r>
          <rPr>
            <sz val="9"/>
            <color rgb="FF000000"/>
            <rFont val="Tahoma"/>
            <family val="2"/>
          </rPr>
          <t xml:space="preserve">
</t>
        </r>
        <r>
          <rPr>
            <sz val="9"/>
            <color rgb="FF000000"/>
            <rFont val="Tahoma"/>
            <family val="2"/>
          </rPr>
          <t>Ingresos - Costes en euros por cada metro cúbico de agua consumida</t>
        </r>
      </text>
    </comment>
    <comment ref="E26" authorId="0" shapeId="0" xr:uid="{E9851A44-9956-4345-8AE8-47C6A6CFB60C}">
      <text>
        <r>
          <rPr>
            <b/>
            <sz val="9"/>
            <color indexed="81"/>
            <rFont val="Tahoma"/>
            <family val="2"/>
          </rPr>
          <t xml:space="preserve">Introducir el coste total del agua en €
</t>
        </r>
        <r>
          <rPr>
            <sz val="9"/>
            <color indexed="81"/>
            <rFont val="Tahoma"/>
            <family val="2"/>
          </rPr>
          <t xml:space="preserve">El coste total facturado
</t>
        </r>
      </text>
    </comment>
    <comment ref="N26" authorId="0" shapeId="0" xr:uid="{CF133C69-D97F-B444-A43F-893740C46E11}">
      <text>
        <r>
          <rPr>
            <b/>
            <sz val="9"/>
            <color indexed="81"/>
            <rFont val="Tahoma"/>
            <family val="2"/>
          </rPr>
          <t>REFERENCIA PARA UNA HECTÁREA    Precio del agua por Hectárea</t>
        </r>
        <r>
          <rPr>
            <sz val="9"/>
            <color indexed="81"/>
            <rFont val="Tahoma"/>
            <family val="2"/>
          </rPr>
          <t xml:space="preserve">
</t>
        </r>
      </text>
    </comment>
    <comment ref="N28" authorId="0" shapeId="0" xr:uid="{ADE4629B-147F-5742-848F-BF696281F212}">
      <text>
        <r>
          <rPr>
            <b/>
            <sz val="9"/>
            <color rgb="FF000000"/>
            <rFont val="Tahoma"/>
            <family val="2"/>
          </rPr>
          <t>REFERENCIA PARA UNA HECTÁREA Dotación de agua m3/Ha</t>
        </r>
        <r>
          <rPr>
            <sz val="9"/>
            <color rgb="FF000000"/>
            <rFont val="Tahoma"/>
            <family val="2"/>
          </rPr>
          <t xml:space="preserve">
</t>
        </r>
      </text>
    </comment>
    <comment ref="N30" authorId="0" shapeId="0" xr:uid="{187C07F3-1802-AB4F-9794-E1299485748F}">
      <text>
        <r>
          <rPr>
            <b/>
            <sz val="9"/>
            <color indexed="81"/>
            <rFont val="Tahoma"/>
            <family val="2"/>
          </rPr>
          <t xml:space="preserve">REFERENCIA PARA UNA HECTÁREA </t>
        </r>
        <r>
          <rPr>
            <sz val="9"/>
            <color indexed="81"/>
            <rFont val="Tahoma"/>
            <family val="2"/>
          </rPr>
          <t xml:space="preserve">
</t>
        </r>
      </text>
    </comment>
    <comment ref="G32" authorId="0" shapeId="0" xr:uid="{1A141B20-69FF-FF44-92AD-7B1A3A0BC881}">
      <text>
        <r>
          <rPr>
            <b/>
            <sz val="9"/>
            <color indexed="81"/>
            <rFont val="Tahoma"/>
            <family val="2"/>
          </rPr>
          <t>Introducir valores totales en €</t>
        </r>
        <r>
          <rPr>
            <sz val="9"/>
            <color indexed="81"/>
            <rFont val="Tahoma"/>
            <family val="2"/>
          </rPr>
          <t xml:space="preserve">
</t>
        </r>
      </text>
    </comment>
    <comment ref="N32" authorId="0" shapeId="0" xr:uid="{ABE73253-5F77-9840-AEE5-B535370E8513}">
      <text>
        <r>
          <rPr>
            <b/>
            <sz val="9"/>
            <color indexed="81"/>
            <rFont val="Tahoma"/>
            <family val="2"/>
          </rPr>
          <t xml:space="preserve">REFERENCIA PARA UNA HECTÁREA </t>
        </r>
        <r>
          <rPr>
            <sz val="9"/>
            <color indexed="81"/>
            <rFont val="Tahoma"/>
            <family val="2"/>
          </rPr>
          <t xml:space="preserve">
</t>
        </r>
      </text>
    </comment>
    <comment ref="G34" authorId="0" shapeId="0" xr:uid="{A274BB6D-40B4-3B41-94BA-0B6BBD5D59F0}">
      <text>
        <r>
          <rPr>
            <b/>
            <sz val="9"/>
            <color indexed="81"/>
            <rFont val="Tahoma"/>
            <family val="2"/>
          </rPr>
          <t>Introducir valores totales en €</t>
        </r>
        <r>
          <rPr>
            <sz val="9"/>
            <color indexed="81"/>
            <rFont val="Tahoma"/>
            <family val="2"/>
          </rPr>
          <t xml:space="preserve">
</t>
        </r>
      </text>
    </comment>
    <comment ref="N34" authorId="0" shapeId="0" xr:uid="{D53DCC78-708F-D943-B30D-AC82F5D83484}">
      <text>
        <r>
          <rPr>
            <b/>
            <sz val="9"/>
            <color indexed="81"/>
            <rFont val="Tahoma"/>
            <family val="2"/>
          </rPr>
          <t xml:space="preserve">REFERENCIA PARA UNA HECTÁREA </t>
        </r>
      </text>
    </comment>
    <comment ref="G36" authorId="0" shapeId="0" xr:uid="{2E88C4BC-42FF-2A46-BC62-9F1C1E6653CF}">
      <text>
        <r>
          <rPr>
            <b/>
            <sz val="9"/>
            <color indexed="81"/>
            <rFont val="Tahoma"/>
            <family val="2"/>
          </rPr>
          <t>Introducir valores totales en €</t>
        </r>
        <r>
          <rPr>
            <sz val="9"/>
            <color indexed="81"/>
            <rFont val="Tahoma"/>
            <family val="2"/>
          </rPr>
          <t xml:space="preserve">
</t>
        </r>
      </text>
    </comment>
    <comment ref="N36" authorId="0" shapeId="0" xr:uid="{EAC50283-D421-1D4B-8939-59E4DBAC65BE}">
      <text>
        <r>
          <rPr>
            <b/>
            <sz val="9"/>
            <color indexed="81"/>
            <rFont val="Tahoma"/>
            <family val="2"/>
          </rPr>
          <t xml:space="preserve">REFERENCIA PARA UNA HECTÁREA </t>
        </r>
        <r>
          <rPr>
            <sz val="9"/>
            <color indexed="81"/>
            <rFont val="Tahoma"/>
            <family val="2"/>
          </rPr>
          <t xml:space="preserve">
</t>
        </r>
      </text>
    </comment>
    <comment ref="G38" authorId="0" shapeId="0" xr:uid="{5F01861D-5E33-2E4D-80DF-958C8436B126}">
      <text>
        <r>
          <rPr>
            <b/>
            <sz val="9"/>
            <color indexed="81"/>
            <rFont val="Tahoma"/>
            <family val="2"/>
          </rPr>
          <t>Introducir valores totales en €</t>
        </r>
      </text>
    </comment>
    <comment ref="N38" authorId="0" shapeId="0" xr:uid="{F5A1F9FA-463D-F548-BAE6-E2796C14A788}">
      <text>
        <r>
          <rPr>
            <b/>
            <sz val="9"/>
            <color rgb="FF000000"/>
            <rFont val="Tahoma"/>
            <family val="2"/>
          </rPr>
          <t xml:space="preserve">REFERENCIA PARA UNA HECTÁREA </t>
        </r>
        <r>
          <rPr>
            <sz val="9"/>
            <color rgb="FF000000"/>
            <rFont val="Tahoma"/>
            <family val="2"/>
          </rPr>
          <t xml:space="preserve">
</t>
        </r>
      </text>
    </comment>
    <comment ref="G40" authorId="0" shapeId="0" xr:uid="{343B6C02-0306-6F49-B4C6-F4F51D0BD125}">
      <text>
        <r>
          <rPr>
            <b/>
            <sz val="9"/>
            <color indexed="81"/>
            <rFont val="Tahoma"/>
            <family val="2"/>
          </rPr>
          <t>Introducir valores totales en €</t>
        </r>
        <r>
          <rPr>
            <sz val="9"/>
            <color indexed="81"/>
            <rFont val="Tahoma"/>
            <family val="2"/>
          </rPr>
          <t xml:space="preserve">
</t>
        </r>
      </text>
    </comment>
    <comment ref="N40" authorId="0" shapeId="0" xr:uid="{B04BF350-0E5A-6245-A57F-A521C66AD71B}">
      <text>
        <r>
          <rPr>
            <b/>
            <sz val="9"/>
            <color indexed="81"/>
            <rFont val="Tahoma"/>
            <family val="2"/>
          </rPr>
          <t xml:space="preserve">REFERENCIA PARA UNA HECTÁREA </t>
        </r>
        <r>
          <rPr>
            <sz val="9"/>
            <color indexed="81"/>
            <rFont val="Tahoma"/>
            <family val="2"/>
          </rPr>
          <t xml:space="preserve">
</t>
        </r>
      </text>
    </comment>
    <comment ref="G42" authorId="0" shapeId="0" xr:uid="{20E73E76-98E9-CA40-8594-0543A9D6D3C7}">
      <text>
        <r>
          <rPr>
            <b/>
            <sz val="9"/>
            <color indexed="81"/>
            <rFont val="Tahoma"/>
            <family val="2"/>
          </rPr>
          <t>Introducir valores totales en €</t>
        </r>
        <r>
          <rPr>
            <sz val="9"/>
            <color indexed="81"/>
            <rFont val="Tahoma"/>
            <family val="2"/>
          </rPr>
          <t xml:space="preserve">
</t>
        </r>
      </text>
    </comment>
    <comment ref="N42" authorId="0" shapeId="0" xr:uid="{C995ABFC-C137-B349-A81A-428D7D12A3BC}">
      <text>
        <r>
          <rPr>
            <b/>
            <sz val="9"/>
            <color indexed="81"/>
            <rFont val="Tahoma"/>
            <family val="2"/>
          </rPr>
          <t xml:space="preserve">REFERENCIA PARA UNA HECTÁREA </t>
        </r>
        <r>
          <rPr>
            <sz val="9"/>
            <color indexed="81"/>
            <rFont val="Tahoma"/>
            <family val="2"/>
          </rPr>
          <t xml:space="preserve">
</t>
        </r>
      </text>
    </comment>
    <comment ref="G44" authorId="0" shapeId="0" xr:uid="{0B58B5C5-0882-704E-8808-999B83B06A6A}">
      <text>
        <r>
          <rPr>
            <b/>
            <sz val="9"/>
            <color indexed="81"/>
            <rFont val="Tahoma"/>
            <family val="2"/>
          </rPr>
          <t>Introducir valores totales en €</t>
        </r>
        <r>
          <rPr>
            <sz val="9"/>
            <color indexed="81"/>
            <rFont val="Tahoma"/>
            <family val="2"/>
          </rPr>
          <t xml:space="preserve">
</t>
        </r>
      </text>
    </comment>
    <comment ref="N44" authorId="0" shapeId="0" xr:uid="{8E3C340C-1895-2649-9752-028A664B9546}">
      <text>
        <r>
          <rPr>
            <b/>
            <sz val="9"/>
            <color indexed="81"/>
            <rFont val="Tahoma"/>
            <family val="2"/>
          </rPr>
          <t xml:space="preserve">REFERENCIA PARA UNA HECTÁREA </t>
        </r>
        <r>
          <rPr>
            <sz val="9"/>
            <color indexed="81"/>
            <rFont val="Tahoma"/>
            <family val="2"/>
          </rPr>
          <t xml:space="preserve">
</t>
        </r>
      </text>
    </comment>
    <comment ref="G46" authorId="0" shapeId="0" xr:uid="{8840BC58-4C47-4C45-ADB9-48CDFBC11A19}">
      <text>
        <r>
          <rPr>
            <b/>
            <sz val="9"/>
            <color indexed="81"/>
            <rFont val="Tahoma"/>
            <family val="2"/>
          </rPr>
          <t>Introducir valores totales en €</t>
        </r>
        <r>
          <rPr>
            <sz val="9"/>
            <color indexed="81"/>
            <rFont val="Tahoma"/>
            <family val="2"/>
          </rPr>
          <t xml:space="preserve">
</t>
        </r>
      </text>
    </comment>
    <comment ref="G48" authorId="0" shapeId="0" xr:uid="{480FDB07-2931-A149-B6B8-EC029EECC7F0}">
      <text>
        <r>
          <rPr>
            <b/>
            <sz val="9"/>
            <color indexed="81"/>
            <rFont val="Tahoma"/>
            <family val="2"/>
          </rPr>
          <t>Introducir valores totales en €</t>
        </r>
        <r>
          <rPr>
            <sz val="9"/>
            <color indexed="81"/>
            <rFont val="Tahoma"/>
            <family val="2"/>
          </rPr>
          <t xml:space="preserve">
</t>
        </r>
      </text>
    </comment>
    <comment ref="N51" authorId="0" shapeId="0" xr:uid="{475B7F3C-8A09-7F4D-9B36-B0AD2382121D}">
      <text>
        <r>
          <rPr>
            <b/>
            <sz val="9"/>
            <color indexed="81"/>
            <rFont val="Tahoma"/>
            <family val="2"/>
          </rPr>
          <t xml:space="preserve">REFERENCIA PARA UNA HECTÁREA </t>
        </r>
        <r>
          <rPr>
            <sz val="9"/>
            <color indexed="81"/>
            <rFont val="Tahoma"/>
            <family val="2"/>
          </rPr>
          <t xml:space="preserve">
</t>
        </r>
      </text>
    </comment>
    <comment ref="G53" authorId="0" shapeId="0" xr:uid="{8A6626A1-16DD-F043-BE38-17995731BF9E}">
      <text>
        <r>
          <rPr>
            <b/>
            <sz val="9"/>
            <color indexed="81"/>
            <rFont val="Tahoma"/>
            <family val="2"/>
          </rPr>
          <t>Introducir valores totales en €</t>
        </r>
        <r>
          <rPr>
            <sz val="9"/>
            <color indexed="81"/>
            <rFont val="Tahoma"/>
            <family val="2"/>
          </rPr>
          <t xml:space="preserve">
</t>
        </r>
      </text>
    </comment>
    <comment ref="N53" authorId="0" shapeId="0" xr:uid="{4E1CE12D-BB90-B348-84F2-04F23E7A3E6E}">
      <text>
        <r>
          <rPr>
            <b/>
            <sz val="9"/>
            <color indexed="81"/>
            <rFont val="Tahoma"/>
            <family val="2"/>
          </rPr>
          <t xml:space="preserve">REFERENCIA PARA UNA HECTÁREA </t>
        </r>
        <r>
          <rPr>
            <sz val="9"/>
            <color indexed="81"/>
            <rFont val="Tahoma"/>
            <family val="2"/>
          </rPr>
          <t xml:space="preserve">
</t>
        </r>
      </text>
    </comment>
    <comment ref="G55" authorId="0" shapeId="0" xr:uid="{80D600CE-69BD-E646-A500-99B81131D20F}">
      <text>
        <r>
          <rPr>
            <b/>
            <sz val="9"/>
            <color indexed="81"/>
            <rFont val="Tahoma"/>
            <family val="2"/>
          </rPr>
          <t>Introducir valores totales en €</t>
        </r>
        <r>
          <rPr>
            <sz val="9"/>
            <color indexed="81"/>
            <rFont val="Tahoma"/>
            <family val="2"/>
          </rPr>
          <t xml:space="preserve">
</t>
        </r>
      </text>
    </comment>
    <comment ref="N55" authorId="0" shapeId="0" xr:uid="{5EC473AF-6180-5841-AA45-7944E251D03A}">
      <text>
        <r>
          <rPr>
            <b/>
            <sz val="9"/>
            <color indexed="81"/>
            <rFont val="Tahoma"/>
            <family val="2"/>
          </rPr>
          <t xml:space="preserve">REFERENCIA PARA UNA HECTÁREA </t>
        </r>
        <r>
          <rPr>
            <sz val="9"/>
            <color indexed="81"/>
            <rFont val="Tahoma"/>
            <family val="2"/>
          </rPr>
          <t xml:space="preserve">
</t>
        </r>
      </text>
    </comment>
    <comment ref="G57" authorId="0" shapeId="0" xr:uid="{25D0A99D-F718-EA41-934B-37AEFBA8308F}">
      <text>
        <r>
          <rPr>
            <b/>
            <sz val="9"/>
            <color indexed="81"/>
            <rFont val="Tahoma"/>
            <family val="2"/>
          </rPr>
          <t>Introducir valores totales en €</t>
        </r>
        <r>
          <rPr>
            <sz val="9"/>
            <color indexed="81"/>
            <rFont val="Tahoma"/>
            <family val="2"/>
          </rPr>
          <t xml:space="preserve">
</t>
        </r>
      </text>
    </comment>
    <comment ref="N57" authorId="0" shapeId="0" xr:uid="{AACE30E8-A5B5-5C4A-A17C-22C0BACB26E6}">
      <text>
        <r>
          <rPr>
            <b/>
            <sz val="9"/>
            <color indexed="81"/>
            <rFont val="Tahoma"/>
            <family val="2"/>
          </rPr>
          <t xml:space="preserve">REFERENCIA PARA UNA HECTÁREA </t>
        </r>
        <r>
          <rPr>
            <sz val="9"/>
            <color indexed="81"/>
            <rFont val="Tahoma"/>
            <family val="2"/>
          </rPr>
          <t xml:space="preserve">
</t>
        </r>
      </text>
    </comment>
    <comment ref="G59" authorId="0" shapeId="0" xr:uid="{836AF9C5-1B0A-F04E-B28F-D506023CD23A}">
      <text>
        <r>
          <rPr>
            <b/>
            <sz val="9"/>
            <color indexed="81"/>
            <rFont val="Tahoma"/>
            <family val="2"/>
          </rPr>
          <t>Introducir valores totales en €</t>
        </r>
        <r>
          <rPr>
            <sz val="9"/>
            <color indexed="81"/>
            <rFont val="Tahoma"/>
            <family val="2"/>
          </rPr>
          <t xml:space="preserve">
</t>
        </r>
      </text>
    </comment>
    <comment ref="N59" authorId="0" shapeId="0" xr:uid="{1CF24D0A-4F32-134B-994A-F886CED558BE}">
      <text>
        <r>
          <rPr>
            <b/>
            <sz val="9"/>
            <color indexed="81"/>
            <rFont val="Tahoma"/>
            <family val="2"/>
          </rPr>
          <t xml:space="preserve">REFERENCIA PARA UNA HECTÁREA </t>
        </r>
        <r>
          <rPr>
            <sz val="9"/>
            <color indexed="81"/>
            <rFont val="Tahoma"/>
            <family val="2"/>
          </rPr>
          <t xml:space="preserve">
</t>
        </r>
      </text>
    </comment>
    <comment ref="G61" authorId="0" shapeId="0" xr:uid="{0F3C1E1D-F1D8-A74F-AE4D-72459BEAFDE0}">
      <text>
        <r>
          <rPr>
            <b/>
            <sz val="9"/>
            <color indexed="81"/>
            <rFont val="Tahoma"/>
            <family val="2"/>
          </rPr>
          <t>Introducir valores totales en €</t>
        </r>
        <r>
          <rPr>
            <sz val="9"/>
            <color indexed="81"/>
            <rFont val="Tahoma"/>
            <family val="2"/>
          </rPr>
          <t xml:space="preserve">
</t>
        </r>
      </text>
    </comment>
    <comment ref="N61" authorId="0" shapeId="0" xr:uid="{DC3DA624-D159-0B42-89F2-85F012802E34}">
      <text>
        <r>
          <rPr>
            <b/>
            <sz val="9"/>
            <color indexed="81"/>
            <rFont val="Tahoma"/>
            <family val="2"/>
          </rPr>
          <t xml:space="preserve">REFERENCIA PARA UNA HECTÁREA </t>
        </r>
        <r>
          <rPr>
            <sz val="9"/>
            <color indexed="81"/>
            <rFont val="Tahoma"/>
            <family val="2"/>
          </rPr>
          <t xml:space="preserve">
</t>
        </r>
      </text>
    </comment>
    <comment ref="G63" authorId="0" shapeId="0" xr:uid="{87199E45-782E-7341-A50A-E3799F3801CF}">
      <text>
        <r>
          <rPr>
            <b/>
            <sz val="9"/>
            <color indexed="81"/>
            <rFont val="Tahoma"/>
            <family val="2"/>
          </rPr>
          <t>Introducir valores totales en €</t>
        </r>
        <r>
          <rPr>
            <sz val="9"/>
            <color indexed="81"/>
            <rFont val="Tahoma"/>
            <family val="2"/>
          </rPr>
          <t xml:space="preserve">
</t>
        </r>
      </text>
    </comment>
    <comment ref="N63" authorId="0" shapeId="0" xr:uid="{212463CD-F203-344C-86C6-082E059C179E}">
      <text>
        <r>
          <rPr>
            <b/>
            <sz val="9"/>
            <color indexed="81"/>
            <rFont val="Tahoma"/>
            <family val="2"/>
          </rPr>
          <t xml:space="preserve">REFERENCIA PARA UNA HECTÁREA </t>
        </r>
        <r>
          <rPr>
            <sz val="9"/>
            <color indexed="81"/>
            <rFont val="Tahoma"/>
            <family val="2"/>
          </rPr>
          <t xml:space="preserve">
</t>
        </r>
      </text>
    </comment>
    <comment ref="G65" authorId="0" shapeId="0" xr:uid="{B9182726-954D-7649-8C1B-E68C1592BFC9}">
      <text>
        <r>
          <rPr>
            <b/>
            <sz val="9"/>
            <color indexed="81"/>
            <rFont val="Tahoma"/>
            <family val="2"/>
          </rPr>
          <t>Introducir valores totales en €</t>
        </r>
        <r>
          <rPr>
            <sz val="9"/>
            <color indexed="81"/>
            <rFont val="Tahoma"/>
            <family val="2"/>
          </rPr>
          <t xml:space="preserve">
</t>
        </r>
      </text>
    </comment>
    <comment ref="N65" authorId="0" shapeId="0" xr:uid="{240593DA-8EE8-E04D-94C7-E4F4C5C018B6}">
      <text>
        <r>
          <rPr>
            <b/>
            <sz val="9"/>
            <color indexed="81"/>
            <rFont val="Tahoma"/>
            <family val="2"/>
          </rPr>
          <t xml:space="preserve">REFERENCIA PARA UNA HECTÁREA </t>
        </r>
      </text>
    </comment>
    <comment ref="G67" authorId="0" shapeId="0" xr:uid="{5450698F-ED78-5C45-AEDA-6CCFCDCE9245}">
      <text>
        <r>
          <rPr>
            <b/>
            <sz val="9"/>
            <color indexed="81"/>
            <rFont val="Tahoma"/>
            <family val="2"/>
          </rPr>
          <t>Introducir valores totales en €</t>
        </r>
      </text>
    </comment>
    <comment ref="N67" authorId="0" shapeId="0" xr:uid="{81DCF39F-D1FF-214E-9BBD-216FE01B4B5A}">
      <text>
        <r>
          <rPr>
            <b/>
            <sz val="9"/>
            <color indexed="81"/>
            <rFont val="Tahoma"/>
            <family val="2"/>
          </rPr>
          <t xml:space="preserve">REFERENCIA PARA UNA HECTÁREA </t>
        </r>
        <r>
          <rPr>
            <sz val="9"/>
            <color indexed="81"/>
            <rFont val="Tahoma"/>
            <family val="2"/>
          </rPr>
          <t xml:space="preserve">
</t>
        </r>
      </text>
    </comment>
    <comment ref="G69" authorId="0" shapeId="0" xr:uid="{19370884-F924-B740-919F-B117E8AD84FE}">
      <text>
        <r>
          <rPr>
            <b/>
            <sz val="9"/>
            <color indexed="81"/>
            <rFont val="Tahoma"/>
            <family val="2"/>
          </rPr>
          <t>Introducir valores totales en €</t>
        </r>
        <r>
          <rPr>
            <sz val="9"/>
            <color indexed="81"/>
            <rFont val="Tahoma"/>
            <family val="2"/>
          </rPr>
          <t xml:space="preserve">
</t>
        </r>
      </text>
    </comment>
    <comment ref="N69" authorId="0" shapeId="0" xr:uid="{E1C08148-A5E7-F744-8CBD-D592ED6DC814}">
      <text>
        <r>
          <rPr>
            <b/>
            <sz val="9"/>
            <color indexed="81"/>
            <rFont val="Tahoma"/>
            <family val="2"/>
          </rPr>
          <t xml:space="preserve">REFERENCIA PARA UNA HECTÁREA </t>
        </r>
        <r>
          <rPr>
            <sz val="9"/>
            <color indexed="81"/>
            <rFont val="Tahoma"/>
            <family val="2"/>
          </rPr>
          <t xml:space="preserve">
</t>
        </r>
      </text>
    </comment>
    <comment ref="N71" authorId="0" shapeId="0" xr:uid="{B9275B71-54E1-D146-815F-C635C6446E8E}">
      <text>
        <r>
          <rPr>
            <b/>
            <sz val="9"/>
            <color indexed="81"/>
            <rFont val="Tahoma"/>
            <family val="2"/>
          </rPr>
          <t xml:space="preserve">REFERENCIA PARA UNA HECTÁREA </t>
        </r>
        <r>
          <rPr>
            <sz val="9"/>
            <color indexed="81"/>
            <rFont val="Tahoma"/>
            <family val="2"/>
          </rPr>
          <t xml:space="preserve">
</t>
        </r>
      </text>
    </comment>
    <comment ref="G73" authorId="0" shapeId="0" xr:uid="{CC3AFA43-5C8E-9F4C-8B67-98A11433FBE5}">
      <text>
        <r>
          <rPr>
            <b/>
            <sz val="9"/>
            <color indexed="81"/>
            <rFont val="Tahoma"/>
            <family val="2"/>
          </rPr>
          <t>Introducir valores totales en €</t>
        </r>
        <r>
          <rPr>
            <sz val="9"/>
            <color indexed="81"/>
            <rFont val="Tahoma"/>
            <family val="2"/>
          </rPr>
          <t xml:space="preserve">
</t>
        </r>
      </text>
    </comment>
    <comment ref="N73" authorId="0" shapeId="0" xr:uid="{9FA385EA-9D2D-6543-9161-134CB7D0A7E4}">
      <text>
        <r>
          <rPr>
            <b/>
            <sz val="9"/>
            <color indexed="81"/>
            <rFont val="Tahoma"/>
            <family val="2"/>
          </rPr>
          <t xml:space="preserve">REFERENCIA PARA UNA HECTÁREA </t>
        </r>
        <r>
          <rPr>
            <sz val="9"/>
            <color indexed="81"/>
            <rFont val="Tahoma"/>
            <family val="2"/>
          </rPr>
          <t xml:space="preserve">
</t>
        </r>
      </text>
    </comment>
    <comment ref="G75" authorId="0" shapeId="0" xr:uid="{72C6AA04-8FE1-8248-9B02-F43FFEB365DA}">
      <text>
        <r>
          <rPr>
            <b/>
            <sz val="9"/>
            <color indexed="81"/>
            <rFont val="Tahoma"/>
            <family val="2"/>
          </rPr>
          <t>Introducir valores totales en €</t>
        </r>
        <r>
          <rPr>
            <sz val="9"/>
            <color indexed="81"/>
            <rFont val="Tahoma"/>
            <family val="2"/>
          </rPr>
          <t xml:space="preserve">
</t>
        </r>
      </text>
    </comment>
    <comment ref="G77" authorId="0" shapeId="0" xr:uid="{750F7E98-24DA-9B43-BD67-B47393D2E947}">
      <text>
        <r>
          <rPr>
            <b/>
            <sz val="9"/>
            <color indexed="81"/>
            <rFont val="Tahoma"/>
            <family val="2"/>
          </rPr>
          <t>Introducir valores totales en €</t>
        </r>
        <r>
          <rPr>
            <sz val="9"/>
            <color indexed="81"/>
            <rFont val="Tahoma"/>
            <family val="2"/>
          </rPr>
          <t xml:space="preserve">
</t>
        </r>
      </text>
    </comment>
    <comment ref="B81" authorId="0" shapeId="0" xr:uid="{821A93D6-F340-FB48-BAB3-DC455B3E33BE}">
      <text>
        <r>
          <rPr>
            <b/>
            <sz val="11"/>
            <color indexed="81"/>
            <rFont val="Tahoma"/>
            <family val="2"/>
          </rPr>
          <t>Ayuda: Costes del inmovilizado</t>
        </r>
        <r>
          <rPr>
            <b/>
            <sz val="9"/>
            <color indexed="81"/>
            <rFont val="Tahoma"/>
            <charset val="1"/>
          </rPr>
          <t xml:space="preserve">:
</t>
        </r>
        <r>
          <rPr>
            <sz val="9"/>
            <color indexed="81"/>
            <rFont val="Tahoma"/>
            <family val="2"/>
          </rPr>
          <t xml:space="preserve">Los costes del inmovilizado son amortizaciones por hectárea y año de cada activo (cabezal, nave, embalse,…). 
</t>
        </r>
        <r>
          <rPr>
            <b/>
            <sz val="9"/>
            <color indexed="81"/>
            <rFont val="Tahoma"/>
            <family val="2"/>
          </rPr>
          <t>Puede usar los valores referencia (en verde)</t>
        </r>
        <r>
          <rPr>
            <sz val="9"/>
            <color indexed="81"/>
            <rFont val="Tahoma"/>
            <family val="2"/>
          </rPr>
          <t>: por ejemplo, cabezal de riego tiene un coste de 178 € por hectárea y año. 
S</t>
        </r>
        <r>
          <rPr>
            <b/>
            <sz val="9"/>
            <color indexed="81"/>
            <rFont val="Tahoma"/>
            <family val="2"/>
          </rPr>
          <t>i conoce el valor de compra de un activo y la superficie a la que da servicio, podrá calcular su coste</t>
        </r>
        <r>
          <rPr>
            <sz val="9"/>
            <color indexed="81"/>
            <rFont val="Tahoma"/>
            <family val="2"/>
          </rPr>
          <t xml:space="preserve"> </t>
        </r>
        <r>
          <rPr>
            <b/>
            <sz val="9"/>
            <color indexed="81"/>
            <rFont val="Tahoma"/>
            <family val="2"/>
          </rPr>
          <t>fácilmente</t>
        </r>
        <r>
          <rPr>
            <sz val="9"/>
            <color indexed="81"/>
            <rFont val="Tahoma"/>
            <family val="2"/>
          </rPr>
          <t xml:space="preserve">. Debe dividir el valor de compra entre la superficie (has) y la vida útil (años). Por ejemplo: Cabezal de riego para 3 hectáreas / Valor de compra = 7.200 / Vida útil = 15 años
</t>
        </r>
        <r>
          <rPr>
            <b/>
            <sz val="9"/>
            <color indexed="81"/>
            <rFont val="Tahoma"/>
            <family val="2"/>
          </rPr>
          <t>Coste inmovilizado (cabezal)</t>
        </r>
        <r>
          <rPr>
            <sz val="9"/>
            <color indexed="81"/>
            <rFont val="Tahoma"/>
            <family val="2"/>
          </rPr>
          <t xml:space="preserve"> = 7.200 / (3 has x 15 años) = 7.200 / 45 = 160 €/ha x año
</t>
        </r>
        <r>
          <rPr>
            <b/>
            <sz val="9"/>
            <color indexed="81"/>
            <rFont val="Tahoma"/>
            <family val="2"/>
          </rPr>
          <t>Vida útil orientativa</t>
        </r>
        <r>
          <rPr>
            <sz val="9"/>
            <color indexed="81"/>
            <rFont val="Tahoma"/>
            <family val="2"/>
          </rPr>
          <t>: Nave 25 años – Cabezal 15 años – Red de riego 10 años -  Preparación y plantación 22 años – Material vario 5 años – Embalse 30 años – Acolchado malla negra 10 años</t>
        </r>
        <r>
          <rPr>
            <b/>
            <sz val="9"/>
            <color indexed="81"/>
            <rFont val="Tahoma"/>
            <charset val="1"/>
          </rPr>
          <t xml:space="preserve">
</t>
        </r>
      </text>
    </comment>
    <comment ref="N81" authorId="0" shapeId="0" xr:uid="{B9624E2E-4387-254A-AAE2-ABDE25CAC7DB}">
      <text>
        <r>
          <rPr>
            <b/>
            <sz val="9"/>
            <color indexed="81"/>
            <rFont val="Tahoma"/>
            <family val="2"/>
          </rPr>
          <t xml:space="preserve">REFERENCIA PARA UNA HECTÁREA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MARTINEZ ROMERO, CRISTINO</author>
  </authors>
  <commentList>
    <comment ref="D4" authorId="0" shapeId="0" xr:uid="{DEA46901-F562-F042-AAD5-FCB98874F98F}">
      <text>
        <r>
          <rPr>
            <b/>
            <sz val="9"/>
            <color indexed="81"/>
            <rFont val="Tahoma"/>
            <charset val="1"/>
          </rPr>
          <t>0,38</t>
        </r>
        <r>
          <rPr>
            <sz val="9"/>
            <color indexed="81"/>
            <rFont val="Tahoma"/>
            <charset val="1"/>
          </rPr>
          <t xml:space="preserve">
</t>
        </r>
      </text>
    </comment>
  </commentList>
</comments>
</file>

<file path=xl/sharedStrings.xml><?xml version="1.0" encoding="utf-8"?>
<sst xmlns="http://schemas.openxmlformats.org/spreadsheetml/2006/main" count="358" uniqueCount="285">
  <si>
    <t>Producto Bruto</t>
  </si>
  <si>
    <t>Producción bruta (kg/ha)</t>
  </si>
  <si>
    <t>Destrío (%)</t>
  </si>
  <si>
    <t>Producción neta (kg/ha)</t>
  </si>
  <si>
    <t>Precio PN (€/kg)</t>
  </si>
  <si>
    <t>Precio destrío (€/kg)</t>
  </si>
  <si>
    <t>Otros subproductos (kg/ha)</t>
  </si>
  <si>
    <t>Precio otros (€/kg)</t>
  </si>
  <si>
    <t>Costes directos</t>
  </si>
  <si>
    <t>Fertilizantes equilibrio</t>
  </si>
  <si>
    <t>Coste fertilización (€/ha)</t>
  </si>
  <si>
    <t>Nº tratamientos fitosanitarios (ud/año)</t>
  </si>
  <si>
    <t>Coste fitosanitarios (€/ha)</t>
  </si>
  <si>
    <t>Seguro cultivo (€/ha)</t>
  </si>
  <si>
    <t>Coste energía eléctrica (€/ha)</t>
  </si>
  <si>
    <t>Maquinaria (sin m.o.)</t>
  </si>
  <si>
    <t>Nº Labores grada (ud/año)</t>
  </si>
  <si>
    <t>Laboreo gradas (h/ha)</t>
  </si>
  <si>
    <t>Coste laboreo (€/h)</t>
  </si>
  <si>
    <t>Triturado leña (h/ha)</t>
  </si>
  <si>
    <t>Coste trituradora (€/h)</t>
  </si>
  <si>
    <t>Tratamiento herbicida (h/ha)</t>
  </si>
  <si>
    <t>Coste tractor tratamiento (€/h)</t>
  </si>
  <si>
    <t>Tratamiento fitosanitario (h/ha)</t>
  </si>
  <si>
    <t>Mano de obra asalariada</t>
  </si>
  <si>
    <t>Coste horario operario (€/h)</t>
  </si>
  <si>
    <t>Coste poda (árboles/jornal)</t>
  </si>
  <si>
    <t>M.O. poda (€/ha)</t>
  </si>
  <si>
    <t>M.O. laboreo (€/ha)</t>
  </si>
  <si>
    <t>M.O. triturado (€/ha)</t>
  </si>
  <si>
    <t>M.O. tratamientos herbicidas (€/ha)</t>
  </si>
  <si>
    <t>M.O. tratamientos fitosanitarios (€/ha)</t>
  </si>
  <si>
    <t>Coste recolección (kg/jornal)</t>
  </si>
  <si>
    <t>M.O. recolección (€/ha)</t>
  </si>
  <si>
    <t xml:space="preserve">Total </t>
  </si>
  <si>
    <t>Añadir amortización maquinaria</t>
  </si>
  <si>
    <t>Unir m.o. insumos y maquinaria</t>
  </si>
  <si>
    <t>Incluir m.o. fija</t>
  </si>
  <si>
    <t>amortización equipo herbicida 12 €/h</t>
  </si>
  <si>
    <t>Datos generales</t>
  </si>
  <si>
    <t>Marco plantación (árboles/ha)</t>
  </si>
  <si>
    <t>Nº horas/jornal</t>
  </si>
  <si>
    <t>Nº operarios trat. herbicidas</t>
  </si>
  <si>
    <t>Equivalencia nº jornales/UTA</t>
  </si>
  <si>
    <t>Equivalencia nº horas/UTA</t>
  </si>
  <si>
    <t>Equivalencia €/UTA</t>
  </si>
  <si>
    <t>Equivalencia ha/m.o.f. UTA</t>
  </si>
  <si>
    <t>Coste sin recolección</t>
  </si>
  <si>
    <t>M.O. fija -capataz- (€/ha)</t>
  </si>
  <si>
    <t>Coste horario podador (€/h)</t>
  </si>
  <si>
    <t>Coste horario tractorista (€/h)</t>
  </si>
  <si>
    <t>Nave de aperos, cabezal e insumos (80 m2)</t>
  </si>
  <si>
    <t>Explotación tipo 5 has</t>
  </si>
  <si>
    <t>Cabezal de riego 50 m3/h</t>
  </si>
  <si>
    <t>Tubería PE BD 16 mm 6 atm (€/ml)</t>
  </si>
  <si>
    <t>Tubería PE BD 63 mm 6 atm (€/ml)</t>
  </si>
  <si>
    <t>P/P piezas riego goteo frutales/cítricos (€/ha)</t>
  </si>
  <si>
    <t>Goteros autocompensantes 4 l/h (€/ud)</t>
  </si>
  <si>
    <t>Montaje y material auxiliar red riego  (coef.)</t>
  </si>
  <si>
    <t>Red de riego localizado por goteo</t>
  </si>
  <si>
    <t>Desfonde con subsolador (80/90 cm) tractor 140 CV</t>
  </si>
  <si>
    <t>Gradeo labor superficial cruzada tractor 120 CV</t>
  </si>
  <si>
    <t>Refino nivelación laser tractor 90 CV</t>
  </si>
  <si>
    <t>Ligero aporcado y plantación manual</t>
  </si>
  <si>
    <t>Maquinaria apoyo plantación</t>
  </si>
  <si>
    <t>Red de riego (por ha)</t>
  </si>
  <si>
    <t>Plantación (por ha)</t>
  </si>
  <si>
    <t>Planta injertada certificada</t>
  </si>
  <si>
    <t>Preparación y plantación limoneros injertados</t>
  </si>
  <si>
    <t>Material vario auxiliar (tijeras, capazos, guantes…)</t>
  </si>
  <si>
    <t>Embalse regulador impermeabilizado PE</t>
  </si>
  <si>
    <t>€/ha</t>
  </si>
  <si>
    <t>Inversión</t>
  </si>
  <si>
    <t>Vida útil</t>
  </si>
  <si>
    <t>Residual</t>
  </si>
  <si>
    <t xml:space="preserve">Amortización </t>
  </si>
  <si>
    <t>C. Oportunidad</t>
  </si>
  <si>
    <t>Total</t>
  </si>
  <si>
    <t>Costes del inmovilizado</t>
  </si>
  <si>
    <t xml:space="preserve">Nave de aperos, cabezal e insumos </t>
  </si>
  <si>
    <t xml:space="preserve">Cabezal de riego </t>
  </si>
  <si>
    <t>Costes del circulante</t>
  </si>
  <si>
    <t>Poda anual</t>
  </si>
  <si>
    <t>Costes de maquinaria</t>
  </si>
  <si>
    <t>Fitosanitarios</t>
  </si>
  <si>
    <t>Abonos</t>
  </si>
  <si>
    <t>Mantenimiento</t>
  </si>
  <si>
    <t>Arrendamientos</t>
  </si>
  <si>
    <t>Energía eléctrica</t>
  </si>
  <si>
    <t>Personal fijo</t>
  </si>
  <si>
    <t xml:space="preserve">Recolección </t>
  </si>
  <si>
    <t>Riego</t>
  </si>
  <si>
    <t>Coste total (€/ha)</t>
  </si>
  <si>
    <t>Plena producción</t>
  </si>
  <si>
    <t>UTA/ha</t>
  </si>
  <si>
    <t>UVA</t>
  </si>
  <si>
    <t>Compensado</t>
  </si>
  <si>
    <t>Margen Neto (MN)</t>
  </si>
  <si>
    <t>MN/Coste total</t>
  </si>
  <si>
    <t>MN/Inversión</t>
  </si>
  <si>
    <t>MN/circulante (%)</t>
  </si>
  <si>
    <t>VAN (€)</t>
  </si>
  <si>
    <t>VAN/Inversión (€/€)</t>
  </si>
  <si>
    <t>Pay Back (años)</t>
  </si>
  <si>
    <t>TIR (%)</t>
  </si>
  <si>
    <t>Umbral Rentabilidad (€/kg)</t>
  </si>
  <si>
    <t>Umbral Rentabilidad (has)</t>
  </si>
  <si>
    <t>Umbral Rentabilidad (kg/ha)</t>
  </si>
  <si>
    <t xml:space="preserve">Eficiencia productiva </t>
  </si>
  <si>
    <t>EUA</t>
  </si>
  <si>
    <t>Eficiencia económica</t>
  </si>
  <si>
    <t>Productividad bruta</t>
  </si>
  <si>
    <t>Eficiencia social</t>
  </si>
  <si>
    <r>
      <t>UTA/hm</t>
    </r>
    <r>
      <rPr>
        <i/>
        <vertAlign val="superscript"/>
        <sz val="10"/>
        <rFont val="Arial Narrow"/>
        <family val="2"/>
      </rPr>
      <t>3</t>
    </r>
  </si>
  <si>
    <t>Horas</t>
  </si>
  <si>
    <t>UTA´s</t>
  </si>
  <si>
    <t>Encargado</t>
  </si>
  <si>
    <t>Operario máquinas</t>
  </si>
  <si>
    <t>Operario ordinario</t>
  </si>
  <si>
    <t>sin recolección</t>
  </si>
  <si>
    <t>€/kg neto</t>
  </si>
  <si>
    <t>Seguro cultivo</t>
  </si>
  <si>
    <t>coste riego por kilo neto</t>
  </si>
  <si>
    <t>Eficiencia productiva (kg/m3)</t>
  </si>
  <si>
    <t>Eficiencia Social (UTA/hm3)</t>
  </si>
  <si>
    <t>Formación de meseta incluido aporte tierra tractor 120 CV</t>
  </si>
  <si>
    <t>Colocación manual malla antihierba</t>
  </si>
  <si>
    <t>2 operarios x 7 h</t>
  </si>
  <si>
    <t xml:space="preserve">Malla antihierba negra Macoglass </t>
  </si>
  <si>
    <t>3.250 m2</t>
  </si>
  <si>
    <t>Refino compactación tractor 90 CV</t>
  </si>
  <si>
    <t xml:space="preserve">meseta </t>
  </si>
  <si>
    <t>Cubrición con malla antihierba de mesetas (por ha)</t>
  </si>
  <si>
    <t>Cubrición con malla antihierba de mesetas</t>
  </si>
  <si>
    <t>incluye formación de mesetas</t>
  </si>
  <si>
    <t>6 goteros/pie</t>
  </si>
  <si>
    <t>7 x 5 m</t>
  </si>
  <si>
    <r>
      <t>Dosis agua riego (m</t>
    </r>
    <r>
      <rPr>
        <vertAlign val="superscript"/>
        <sz val="10"/>
        <color indexed="12"/>
        <rFont val="Arial Narrow"/>
        <family val="2"/>
      </rPr>
      <t>3</t>
    </r>
    <r>
      <rPr>
        <sz val="10"/>
        <color indexed="12"/>
        <rFont val="Arial Narrow"/>
        <family val="2"/>
      </rPr>
      <t>/ha)</t>
    </r>
  </si>
  <si>
    <r>
      <t>Precio agua riego (€/m</t>
    </r>
    <r>
      <rPr>
        <vertAlign val="superscript"/>
        <sz val="10"/>
        <color indexed="12"/>
        <rFont val="Arial Narrow"/>
        <family val="2"/>
      </rPr>
      <t>3</t>
    </r>
    <r>
      <rPr>
        <sz val="10"/>
        <color indexed="12"/>
        <rFont val="Arial Narrow"/>
        <family val="2"/>
      </rPr>
      <t>)</t>
    </r>
  </si>
  <si>
    <t>Nº tratamientos control biológico (ud/año)</t>
  </si>
  <si>
    <t>Nº uds CB</t>
  </si>
  <si>
    <t>Coste estrategia CB y CT (€/ha)</t>
  </si>
  <si>
    <t>encuesta</t>
  </si>
  <si>
    <t>Control biológico y tecnológico</t>
  </si>
  <si>
    <t>Malla antihierba en mesetas</t>
  </si>
  <si>
    <t>ANALISIS COMPARATIVO</t>
  </si>
  <si>
    <t>ECO</t>
  </si>
  <si>
    <t>CON</t>
  </si>
  <si>
    <t>sobrecoste</t>
  </si>
  <si>
    <t>%</t>
  </si>
  <si>
    <t>€/kg</t>
  </si>
  <si>
    <t>PB comercial</t>
  </si>
  <si>
    <t>FERTILIZANTE</t>
  </si>
  <si>
    <t>DOSIS</t>
  </si>
  <si>
    <t>RIQUEZA</t>
  </si>
  <si>
    <t>RIQ.</t>
  </si>
  <si>
    <r>
      <t xml:space="preserve">   </t>
    </r>
    <r>
      <rPr>
        <b/>
        <sz val="10"/>
        <rFont val="Arial Narrow"/>
        <family val="2"/>
      </rPr>
      <t>MARCO</t>
    </r>
  </si>
  <si>
    <t>UF</t>
  </si>
  <si>
    <t>N (%)</t>
  </si>
  <si>
    <t xml:space="preserve">P2O5 </t>
  </si>
  <si>
    <t xml:space="preserve">K2O </t>
  </si>
  <si>
    <t xml:space="preserve">MgO </t>
  </si>
  <si>
    <t xml:space="preserve">CaO </t>
  </si>
  <si>
    <t>(m)</t>
  </si>
  <si>
    <t>(N)</t>
  </si>
  <si>
    <t>(P2O5)</t>
  </si>
  <si>
    <t>(K2O)</t>
  </si>
  <si>
    <t>(CaO)</t>
  </si>
  <si>
    <t>(MgO)</t>
  </si>
  <si>
    <t>Constante:</t>
  </si>
  <si>
    <t>Densidad fluido (kg/l):</t>
  </si>
  <si>
    <t>Altura manométrica (m):</t>
  </si>
  <si>
    <t>Superficie sector (has):</t>
  </si>
  <si>
    <t>plantas/ha:</t>
  </si>
  <si>
    <t>Goteros/planta:</t>
  </si>
  <si>
    <t>Caudal gotero (l/h):</t>
  </si>
  <si>
    <t>Precio kw·h (€):</t>
  </si>
  <si>
    <t>Rendimiento (µm·µb) (0,75·0,75)</t>
  </si>
  <si>
    <t>Coste energía/ha·año:</t>
  </si>
  <si>
    <t>TOTAL UF/AÑO</t>
  </si>
  <si>
    <t>RIEGO</t>
  </si>
  <si>
    <t>Horas/año·sector</t>
  </si>
  <si>
    <t>sectores</t>
  </si>
  <si>
    <t>kg ó litros/ha</t>
  </si>
  <si>
    <t>Precio unidad</t>
  </si>
  <si>
    <t>total</t>
  </si>
  <si>
    <t>Nº PLANTAS:</t>
  </si>
  <si>
    <t>50 m3/h</t>
  </si>
  <si>
    <t>Se debe dividir por caudal/ha</t>
  </si>
  <si>
    <t>Caudal = 6,84 m3/hora</t>
  </si>
  <si>
    <t>FITOSANITARIOS</t>
  </si>
  <si>
    <t>M1</t>
  </si>
  <si>
    <t>M2</t>
  </si>
  <si>
    <t>Tratamiento 1</t>
  </si>
  <si>
    <t>Tratamiento 2</t>
  </si>
  <si>
    <t>Tratamiento 3</t>
  </si>
  <si>
    <t>TOTAL AÑO</t>
  </si>
  <si>
    <t>limonero Fino Eco</t>
  </si>
  <si>
    <t>kg/ha</t>
  </si>
  <si>
    <t>Estiercol ovino/caprino</t>
  </si>
  <si>
    <t>cada 3 años</t>
  </si>
  <si>
    <t>(gr-cc/pie)</t>
  </si>
  <si>
    <t>Brotolim Eco AA 6-0-0</t>
  </si>
  <si>
    <t>Terraplus 2-4-6</t>
  </si>
  <si>
    <t>PRONAMIN N MAX 20LT p/v</t>
  </si>
  <si>
    <t>186-67-198-30-0</t>
  </si>
  <si>
    <t>Brotolim Eco AA</t>
  </si>
  <si>
    <t>Quelato hierro Ferrilene p/p</t>
  </si>
  <si>
    <t>Acidos húmicos + fúlvicos</t>
  </si>
  <si>
    <t>Quelato 5 x 6 gramos/pie</t>
  </si>
  <si>
    <t>Dosis riego limonero Fino eco</t>
  </si>
  <si>
    <t>Agroseguro</t>
  </si>
  <si>
    <t>VER ENCUESTA ECO</t>
  </si>
  <si>
    <t>SI</t>
  </si>
  <si>
    <t>No</t>
  </si>
  <si>
    <t>DATOS GENERALES</t>
  </si>
  <si>
    <t>RESULTADOS.</t>
  </si>
  <si>
    <t>USUARIO</t>
  </si>
  <si>
    <t>MARGEN NETO (MN)</t>
  </si>
  <si>
    <t>MARCO DE PLANTACIÓN</t>
  </si>
  <si>
    <t>X</t>
  </si>
  <si>
    <t>REFERENCIA / HA</t>
  </si>
  <si>
    <t>COSTE TOTAL  € / HA</t>
  </si>
  <si>
    <t>SUPERFICIE</t>
  </si>
  <si>
    <t>CALCULOS FINCA / Ha</t>
  </si>
  <si>
    <t>MN / COSTE TOTAL (%) (Rentabilidad)</t>
  </si>
  <si>
    <t>PRECIO DE VENTA y PRECIO DESTRÍO</t>
  </si>
  <si>
    <t>PRODUCCIÓN BRUTA</t>
  </si>
  <si>
    <t>COSTE MEDIO DE PRODUCCIÓN (€/Kg)</t>
  </si>
  <si>
    <t>DESTRÍO</t>
  </si>
  <si>
    <t>PRODUCTIVIDAD DEL AGUA.</t>
  </si>
  <si>
    <t>PRODUCTIVIDAD TÉCNICA AGUA</t>
  </si>
  <si>
    <t>PRODUCCIÓN NETA</t>
  </si>
  <si>
    <t>PRODUCTIVA ECONOMICA BRUTA AGUA</t>
  </si>
  <si>
    <t>RIEGO: PRECIO UNITARIO DEL AGUA</t>
  </si>
  <si>
    <t>PRODUCTIVIDAD ECONÓMICA NETA AGUA</t>
  </si>
  <si>
    <t>RIEGO DOTACIÓN</t>
  </si>
  <si>
    <t>INMOVILIZADO</t>
  </si>
  <si>
    <t>NAVE DE APEROS</t>
  </si>
  <si>
    <t>CABEZAL DE RIEGO</t>
  </si>
  <si>
    <t>RED DE RIEGO LOCALIZADO</t>
  </si>
  <si>
    <t>Preparación y plant limoneros injertados</t>
  </si>
  <si>
    <t>Material vario auxiliar (tijeras, capazos,…)</t>
  </si>
  <si>
    <t>EMBALSE REGULADOR</t>
  </si>
  <si>
    <t>ACOLCHADO - MALLA MESETA</t>
  </si>
  <si>
    <t>OTROS 1</t>
  </si>
  <si>
    <t>OTROS 2</t>
  </si>
  <si>
    <t>CIRCULANTE</t>
  </si>
  <si>
    <t>PODA</t>
  </si>
  <si>
    <t>SEGURO DEL CULTIVO</t>
  </si>
  <si>
    <t>COSTE TOTAL DE LA MAQUINARIA</t>
  </si>
  <si>
    <t>ABONOS</t>
  </si>
  <si>
    <t>MANTENIMIENTO</t>
  </si>
  <si>
    <t>ARRENDAMIENTO</t>
  </si>
  <si>
    <t>ENERGÍA ELÉCTRICA</t>
  </si>
  <si>
    <t>AGUA DE RIEGO</t>
  </si>
  <si>
    <t>PERSONAL FIJO</t>
  </si>
  <si>
    <t>CIRCULANTE + INMOVILIZADO</t>
  </si>
  <si>
    <t>CONTROL BIOLÓGICO Y TECNOLÓGICO</t>
  </si>
  <si>
    <t>INSTRUCCIONES. Ayuda: Costes del inmovilizado</t>
  </si>
  <si>
    <t xml:space="preserve">Los costes del inmovilizado son amortizaciones por hectárea y año de cada activo (cabezal, nave, embalse,…). </t>
  </si>
  <si>
    <t xml:space="preserve">Puede usar los valores referencia (en verde): por ejemplo, cabezal de riego tiene un coste de 178 € por hectárea y año. </t>
  </si>
  <si>
    <t xml:space="preserve">Si conoce el valor de compra de un activo y la superficie a la que da servicio, podrá calcular su coste fácilmente. Debe dividir el valor de compra entre la superficie (has) y la vida útil (años). </t>
  </si>
  <si>
    <t>Por ejemplo: Cabezal de riego para 3 hectáreas / Valor de compra = 7.200 / Vida útil = 15 años</t>
  </si>
  <si>
    <t>Coste inmovilizado (cabezal) = 7.200 / (3 has x 15 años) = 7.200 / 45 = 160 €/ha x año</t>
  </si>
  <si>
    <t>Vida útil orientativa: Nave 25 años – Cabezal 15 años – Red de riego 10 años -  Preparación y plantación 22 años – Material vario 5 años – Embalse 30 años – Acolchado malla negra 10 años</t>
  </si>
  <si>
    <t>INSTRUCCIONES.</t>
  </si>
  <si>
    <t>1) La producción bruta (PB) (kg) introducida (en color amarillo) debe corresponder a la superficie total de la explotación</t>
  </si>
  <si>
    <t xml:space="preserve">2) Introducir los datos en las casillas de color amarillo. Las celdas con valor CERO se verán con el texto en color rojo para recordar que ahí no hay dato. En los comentarios se explica que dato hay que introducir (las unidades ya las lleva por defecto). </t>
  </si>
  <si>
    <t>3) Pinchando sobre el Logo de Ailimpo se abre la web de Ailimpo en el navegador de internet que tengan por defecto, igual ocurre con la web del Imida (se abre la página donde se pueden descargar las publicaciones de economía agrícola del Dr. Ingeniero Agrónomo D. José García García (Fuente de la hoja Excel)</t>
  </si>
  <si>
    <t xml:space="preserve">4) Pinchando en "Precios Agro" se abren las distintas web de precios agrícolas que refleja el titulo (Murcia, Alicante y MAPA).    </t>
  </si>
  <si>
    <t>5) La columna en verde corresponde a valores de referencia orientativos para 1 hectárea en explotación tipo (Bibliografía IMIDA actualizada). La columna central (en color blanco) muestra un resultado parcial que se debe contrastar con la columna de valores de referencia (en color verde).</t>
  </si>
  <si>
    <t>6) A la derecha de los Datos de Referencia (color verde), se avisa si los cálculos por hectárea procedentes de la introducción de datos son superiores o inferiores al valor de referencia, cambiando además de color para distinguir si es menor o mayor. Que el dato sea menor a mayor no tiene porque tener relevancia pero es un aviso por si hubiera un error.</t>
  </si>
  <si>
    <t xml:space="preserve">7) La columna CALCULOS FINCA POR HA (en color blanco), calcula igual que la anterior los precios y valores por Ha pero ya no depende de una estadística del IMIDA, sino de los datos introducidos en las celdas de color amarillo por el usuario; tiene en cuenta el Número de Hectáreas que le hayamos introducido.                                                                                                                                                                           </t>
  </si>
  <si>
    <t>8) El Inmovilizado refleja costes anuales de amortización de la finca (€/año) (para la superficie total introducida). Del mismo modo, el circulante refleja costes anuales correspondientes al total de superficie de cultivo introducida. Ambos capítulos contables van en color amarillo.</t>
  </si>
  <si>
    <t xml:space="preserve">9) En los apartados INMOVILIZADO Y CIRCULANTE se dejan unas casillas en amarillo vacías o con valor cero; el usuario puede introducir otras partidas no contempladas en este Excel, para que así intervengan en las sumas y los cálculos finales. Deben ser valores de costes anuales (€/año) para el total de la superficie introducida                                                                                                                                                                                                                                                                                                                                                                                                                  </t>
  </si>
  <si>
    <t>Inversión (€/Ha)</t>
  </si>
  <si>
    <t>FERTILIZANTES</t>
  </si>
  <si>
    <t>Versión 1.6 - Fecha: 23-7-2024</t>
  </si>
  <si>
    <t>RESULTADOS DE COSTES: FINCA DE LIMÓN FINO ECOLÓGICO.</t>
  </si>
  <si>
    <t>Limonero Fino Ecológico</t>
  </si>
  <si>
    <t xml:space="preserve">  ANALISIS DE COSTES: EXPLOTACIÓN DE LIMONERO FINO ECO</t>
  </si>
  <si>
    <t>Limonero Fino Eco</t>
  </si>
  <si>
    <t>CALCULO DE COSTES: LIMÓN FINO ECOLÓGICO.</t>
  </si>
  <si>
    <t>UMBRAL DE RENTABILIDAD (Kg produccion neta/ ha) Viabilidad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</si>
</sst>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164" formatCode="0.0"/>
    <numFmt numFmtId="165" formatCode="0.000"/>
    <numFmt numFmtId="166" formatCode="#,##0.000"/>
    <numFmt numFmtId="167" formatCode="0.0%"/>
    <numFmt numFmtId="168" formatCode="#,##0.0000"/>
    <numFmt numFmtId="169" formatCode="#,##0&quot; pies&quot;"/>
    <numFmt numFmtId="170" formatCode="#,##0.00&quot; m²/pie&quot;"/>
    <numFmt numFmtId="171" formatCode="#,##0&quot; €&quot;"/>
    <numFmt numFmtId="172" formatCode="#,##0&quot; €/Ha&quot;"/>
    <numFmt numFmtId="173" formatCode="#,##0.00&quot; Ha&quot;"/>
    <numFmt numFmtId="174" formatCode="#,##0.00&quot; %&quot;"/>
    <numFmt numFmtId="175" formatCode="#,##0.00&quot; €/kg&quot;"/>
    <numFmt numFmtId="176" formatCode="&quot;PRECIO DESTRÍO:&quot;\ #,##0.00&quot; €/kg&quot;"/>
    <numFmt numFmtId="177" formatCode="#,##0&quot; Kg/Ha&quot;"/>
    <numFmt numFmtId="178" formatCode="#,##0&quot; Kg&quot;"/>
    <numFmt numFmtId="179" formatCode="#,##0.00&quot; Kg/Ha&quot;"/>
    <numFmt numFmtId="180" formatCode="#,##0.00&quot; €/Ha&quot;"/>
    <numFmt numFmtId="181" formatCode="#,##0.00&quot; Kg/m3&quot;"/>
    <numFmt numFmtId="182" formatCode="#,##0.00&quot; €/m3&quot;"/>
    <numFmt numFmtId="183" formatCode="&quot;Coste total del Agua: &quot;#,##0&quot; €&quot;"/>
    <numFmt numFmtId="184" formatCode="#,##0&quot; m3/Ha&quot;"/>
    <numFmt numFmtId="185" formatCode="#,##0.00&quot; €&quot;"/>
    <numFmt numFmtId="186" formatCode="#,##0.00&quot; m³/Ha&quot;"/>
    <numFmt numFmtId="187" formatCode="&quot;Datos para: &quot;#,##0.00&quot; Has&quot;"/>
    <numFmt numFmtId="188" formatCode="&quot;Fecha: &quot;dd/mm/yyyy"/>
    <numFmt numFmtId="189" formatCode="#,##0&quot; pies/Ha&quot;"/>
    <numFmt numFmtId="190" formatCode="#,##0.00&quot; m&quot;"/>
    <numFmt numFmtId="191" formatCode="#,##0.00&quot; m²&quot;"/>
    <numFmt numFmtId="192" formatCode="#,##0&quot; Horas&quot;"/>
    <numFmt numFmtId="193" formatCode="#,##0&quot; Ud/año&quot;"/>
    <numFmt numFmtId="194" formatCode="#,##0&quot; Ud&quot;"/>
    <numFmt numFmtId="195" formatCode="#,##0.00&quot; €/ltr&quot;"/>
    <numFmt numFmtId="196" formatCode="#,##0.00&quot; €/m³&quot;"/>
    <numFmt numFmtId="197" formatCode="#,##0.00&quot; h/Ha&quot;"/>
    <numFmt numFmtId="198" formatCode="#,##0.00&quot; €/h&quot;"/>
    <numFmt numFmtId="199" formatCode="#,##0&quot; años&quot;"/>
    <numFmt numFmtId="200" formatCode="#,##0.00&quot; Has&quot;"/>
    <numFmt numFmtId="201" formatCode="#,##0.00&quot; horas&quot;"/>
  </numFmts>
  <fonts count="90" x14ac:knownFonts="1">
    <font>
      <sz val="10"/>
      <name val="Arial"/>
    </font>
    <font>
      <sz val="10"/>
      <name val="Arial"/>
    </font>
    <font>
      <b/>
      <i/>
      <sz val="10"/>
      <color indexed="12"/>
      <name val="Arial Narrow"/>
      <family val="2"/>
    </font>
    <font>
      <sz val="10"/>
      <name val="Arial Narrow"/>
      <family val="2"/>
    </font>
    <font>
      <b/>
      <sz val="10"/>
      <color indexed="12"/>
      <name val="Arial Narrow"/>
      <family val="2"/>
    </font>
    <font>
      <b/>
      <sz val="10"/>
      <color indexed="17"/>
      <name val="Arial Narrow"/>
      <family val="2"/>
    </font>
    <font>
      <b/>
      <sz val="11"/>
      <color indexed="12"/>
      <name val="Arial Narrow"/>
      <family val="2"/>
    </font>
    <font>
      <sz val="10"/>
      <color indexed="12"/>
      <name val="Arial Narrow"/>
      <family val="2"/>
    </font>
    <font>
      <sz val="8"/>
      <name val="Arial"/>
      <family val="2"/>
    </font>
    <font>
      <sz val="10"/>
      <color indexed="10"/>
      <name val="Arial Narrow"/>
      <family val="2"/>
    </font>
    <font>
      <i/>
      <sz val="10"/>
      <color indexed="12"/>
      <name val="Arial Narrow"/>
      <family val="2"/>
    </font>
    <font>
      <sz val="10"/>
      <color indexed="12"/>
      <name val="Arial"/>
      <family val="2"/>
    </font>
    <font>
      <b/>
      <i/>
      <sz val="10"/>
      <color indexed="12"/>
      <name val="Arial"/>
      <family val="2"/>
    </font>
    <font>
      <sz val="11"/>
      <color indexed="12"/>
      <name val="Arial Narrow"/>
      <family val="2"/>
    </font>
    <font>
      <sz val="9"/>
      <name val="Arial"/>
      <family val="2"/>
    </font>
    <font>
      <sz val="10"/>
      <color indexed="10"/>
      <name val="Arial"/>
      <family val="2"/>
    </font>
    <font>
      <b/>
      <sz val="10"/>
      <name val="Arial"/>
      <family val="2"/>
    </font>
    <font>
      <sz val="8"/>
      <name val="Arial Narrow"/>
      <family val="2"/>
    </font>
    <font>
      <sz val="8"/>
      <color indexed="10"/>
      <name val="Arial Narrow"/>
      <family val="2"/>
    </font>
    <font>
      <i/>
      <sz val="8"/>
      <name val="Arial Narrow"/>
      <family val="2"/>
    </font>
    <font>
      <b/>
      <sz val="8"/>
      <name val="Arial Narrow"/>
      <family val="2"/>
    </font>
    <font>
      <b/>
      <i/>
      <sz val="11"/>
      <name val="Arial Narrow"/>
      <family val="2"/>
    </font>
    <font>
      <b/>
      <i/>
      <sz val="10"/>
      <name val="Arial Narrow"/>
      <family val="2"/>
    </font>
    <font>
      <b/>
      <i/>
      <sz val="11"/>
      <color indexed="12"/>
      <name val="Arial Narrow"/>
      <family val="2"/>
    </font>
    <font>
      <i/>
      <sz val="10"/>
      <color indexed="10"/>
      <name val="Arial Narrow"/>
      <family val="2"/>
    </font>
    <font>
      <b/>
      <sz val="10"/>
      <name val="Arial Narrow"/>
      <family val="2"/>
    </font>
    <font>
      <i/>
      <sz val="10"/>
      <name val="Arial Narrow"/>
      <family val="2"/>
    </font>
    <font>
      <b/>
      <sz val="10"/>
      <name val="Arial"/>
      <family val="2"/>
    </font>
    <font>
      <i/>
      <vertAlign val="superscript"/>
      <sz val="10"/>
      <name val="Arial Narrow"/>
      <family val="2"/>
    </font>
    <font>
      <sz val="9"/>
      <color indexed="10"/>
      <name val="Arial Narrow"/>
      <family val="2"/>
    </font>
    <font>
      <i/>
      <sz val="9"/>
      <color indexed="10"/>
      <name val="Arial Narrow"/>
      <family val="2"/>
    </font>
    <font>
      <u/>
      <sz val="10"/>
      <color indexed="12"/>
      <name val="Arial"/>
      <family val="2"/>
    </font>
    <font>
      <b/>
      <i/>
      <sz val="10"/>
      <color indexed="10"/>
      <name val="Arial Narrow"/>
      <family val="2"/>
    </font>
    <font>
      <sz val="10"/>
      <name val="Arial"/>
      <family val="2"/>
    </font>
    <font>
      <b/>
      <i/>
      <sz val="10"/>
      <name val="Arial"/>
      <family val="2"/>
    </font>
    <font>
      <vertAlign val="superscript"/>
      <sz val="10"/>
      <color indexed="12"/>
      <name val="Arial Narrow"/>
      <family val="2"/>
    </font>
    <font>
      <sz val="9"/>
      <name val="Arial Narrow"/>
      <family val="2"/>
    </font>
    <font>
      <b/>
      <i/>
      <sz val="8"/>
      <name val="Arial Narrow"/>
      <family val="2"/>
    </font>
    <font>
      <b/>
      <sz val="14"/>
      <color indexed="12"/>
      <name val="Arial"/>
      <family val="2"/>
    </font>
    <font>
      <b/>
      <sz val="12"/>
      <name val="Arial"/>
      <family val="2"/>
    </font>
    <font>
      <b/>
      <sz val="14"/>
      <name val="Arial Narrow"/>
      <family val="2"/>
    </font>
    <font>
      <b/>
      <sz val="11"/>
      <name val="Arial"/>
      <family val="2"/>
    </font>
    <font>
      <sz val="11"/>
      <name val="Arial"/>
      <family val="2"/>
    </font>
    <font>
      <b/>
      <sz val="9"/>
      <name val="Arial"/>
      <family val="2"/>
    </font>
    <font>
      <b/>
      <sz val="8"/>
      <name val="Arial"/>
      <family val="2"/>
    </font>
    <font>
      <b/>
      <sz val="9"/>
      <color indexed="81"/>
      <name val="Tahoma"/>
      <family val="2"/>
    </font>
    <font>
      <sz val="9"/>
      <color indexed="81"/>
      <name val="Tahoma"/>
      <family val="2"/>
    </font>
    <font>
      <b/>
      <sz val="9"/>
      <color indexed="81"/>
      <name val="Tahoma"/>
      <charset val="1"/>
    </font>
    <font>
      <b/>
      <sz val="11"/>
      <color indexed="81"/>
      <name val="Tahoma"/>
      <family val="2"/>
    </font>
    <font>
      <b/>
      <u/>
      <sz val="10"/>
      <name val="Arial"/>
      <family val="2"/>
    </font>
    <font>
      <b/>
      <sz val="9"/>
      <color indexed="12"/>
      <name val="Arial Narrow"/>
      <family val="2"/>
    </font>
    <font>
      <sz val="9"/>
      <color indexed="81"/>
      <name val="Tahoma"/>
      <charset val="1"/>
    </font>
    <font>
      <b/>
      <i/>
      <sz val="9"/>
      <name val="Arial Narrow"/>
      <family val="2"/>
    </font>
    <font>
      <b/>
      <sz val="9"/>
      <name val="Arial Narrow"/>
      <family val="2"/>
    </font>
    <font>
      <sz val="11"/>
      <color rgb="FFFF0000"/>
      <name val="Calibri"/>
      <family val="2"/>
      <scheme val="minor"/>
    </font>
    <font>
      <sz val="10"/>
      <color rgb="FFFF0000"/>
      <name val="Arial"/>
      <family val="2"/>
    </font>
    <font>
      <sz val="10"/>
      <color rgb="FFFF0000"/>
      <name val="Arial Narrow"/>
      <family val="2"/>
    </font>
    <font>
      <sz val="10"/>
      <color rgb="FF0000FF"/>
      <name val="Arial Narrow"/>
      <family val="2"/>
    </font>
    <font>
      <i/>
      <sz val="9"/>
      <color rgb="FF0000FF"/>
      <name val="Arial Narrow"/>
      <family val="2"/>
    </font>
    <font>
      <i/>
      <sz val="10"/>
      <color rgb="FF0000FF"/>
      <name val="Arial Narrow"/>
      <family val="2"/>
    </font>
    <font>
      <b/>
      <i/>
      <sz val="10"/>
      <color rgb="FF00B050"/>
      <name val="Arial Narrow"/>
      <family val="2"/>
    </font>
    <font>
      <b/>
      <i/>
      <sz val="10"/>
      <color rgb="FF00B050"/>
      <name val="Arial"/>
      <family val="2"/>
    </font>
    <font>
      <sz val="9"/>
      <color rgb="FFFF0000"/>
      <name val="Arial Narrow"/>
      <family val="2"/>
    </font>
    <font>
      <b/>
      <sz val="10"/>
      <color rgb="FFFF0000"/>
      <name val="Arial Narrow"/>
      <family val="2"/>
    </font>
    <font>
      <b/>
      <sz val="10"/>
      <color rgb="FF0000FF"/>
      <name val="Arial Narrow"/>
      <family val="2"/>
    </font>
    <font>
      <b/>
      <i/>
      <sz val="10"/>
      <color theme="1"/>
      <name val="Arial Narrow"/>
      <family val="2"/>
    </font>
    <font>
      <sz val="11"/>
      <color theme="9" tint="-0.249977111117893"/>
      <name val="Arial Narrow"/>
      <family val="2"/>
    </font>
    <font>
      <b/>
      <sz val="11"/>
      <color theme="9" tint="-0.249977111117893"/>
      <name val="Arial Narrow"/>
      <family val="2"/>
    </font>
    <font>
      <b/>
      <i/>
      <sz val="10"/>
      <color rgb="FF0000FF"/>
      <name val="Arial"/>
      <family val="2"/>
    </font>
    <font>
      <sz val="10"/>
      <color theme="0" tint="-0.249977111117893"/>
      <name val="Arial"/>
      <family val="2"/>
    </font>
    <font>
      <sz val="10"/>
      <color theme="0" tint="-0.14999847407452621"/>
      <name val="Arial"/>
      <family val="2"/>
    </font>
    <font>
      <b/>
      <sz val="16"/>
      <color rgb="FF0000FF"/>
      <name val="Arial"/>
      <family val="2"/>
    </font>
    <font>
      <b/>
      <sz val="10"/>
      <color theme="0" tint="-0.14999847407452621"/>
      <name val="Arial"/>
      <family val="2"/>
    </font>
    <font>
      <sz val="8"/>
      <color rgb="FF0066FF"/>
      <name val="Arial"/>
      <family val="2"/>
    </font>
    <font>
      <b/>
      <sz val="10"/>
      <color theme="3" tint="-0.249977111117893"/>
      <name val="Arial"/>
      <family val="2"/>
    </font>
    <font>
      <b/>
      <sz val="10"/>
      <color rgb="FF0000FF"/>
      <name val="Arial"/>
      <family val="2"/>
    </font>
    <font>
      <sz val="10"/>
      <color theme="3" tint="-0.249977111117893"/>
      <name val="Arial"/>
      <family val="2"/>
    </font>
    <font>
      <b/>
      <sz val="10"/>
      <color rgb="FFFF0000"/>
      <name val="Arial"/>
      <family val="2"/>
    </font>
    <font>
      <sz val="10"/>
      <color theme="4" tint="0.39997558519241921"/>
      <name val="Arial"/>
      <family val="2"/>
    </font>
    <font>
      <sz val="10"/>
      <color rgb="FF0066FF"/>
      <name val="Arial"/>
      <family val="2"/>
    </font>
    <font>
      <b/>
      <sz val="10"/>
      <color rgb="FF0066FF"/>
      <name val="Arial"/>
      <family val="2"/>
    </font>
    <font>
      <sz val="8"/>
      <color rgb="FF0000FF"/>
      <name val="Arial"/>
      <family val="2"/>
    </font>
    <font>
      <b/>
      <sz val="8"/>
      <color rgb="FFC00000"/>
      <name val="Arial"/>
      <family val="2"/>
    </font>
    <font>
      <sz val="10"/>
      <color theme="9" tint="-0.249977111117893"/>
      <name val="Arial Narrow"/>
      <family val="2"/>
    </font>
    <font>
      <b/>
      <i/>
      <sz val="10"/>
      <color rgb="FFFF0000"/>
      <name val="Arial Narrow"/>
      <family val="2"/>
    </font>
    <font>
      <b/>
      <i/>
      <sz val="10"/>
      <color rgb="FF0000FF"/>
      <name val="Arial Narrow"/>
      <family val="2"/>
    </font>
    <font>
      <b/>
      <sz val="11"/>
      <color rgb="FF0000FF"/>
      <name val="Arial Narrow"/>
      <family val="2"/>
    </font>
    <font>
      <b/>
      <sz val="8"/>
      <color rgb="FFFFC000"/>
      <name val="Arial"/>
      <family val="2"/>
    </font>
    <font>
      <b/>
      <sz val="9"/>
      <color rgb="FF000000"/>
      <name val="Tahoma"/>
      <family val="2"/>
    </font>
    <font>
      <sz val="9"/>
      <color rgb="FF000000"/>
      <name val="Tahoma"/>
      <family val="2"/>
    </font>
  </fonts>
  <fills count="2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0000FF"/>
        <bgColor indexed="64"/>
      </patternFill>
    </fill>
    <fill>
      <patternFill patternType="solid">
        <fgColor theme="4" tint="0.59999389629810485"/>
        <bgColor indexed="64"/>
      </patternFill>
    </fill>
    <fill>
      <patternFill patternType="solid">
        <fgColor rgb="FFFFFF99"/>
        <bgColor indexed="64"/>
      </patternFill>
    </fill>
    <fill>
      <patternFill patternType="solid">
        <fgColor theme="0" tint="-0.14999847407452621"/>
        <bgColor indexed="64"/>
      </patternFill>
    </fill>
    <fill>
      <patternFill patternType="solid">
        <fgColor rgb="FF219F93"/>
        <bgColor indexed="64"/>
      </patternFill>
    </fill>
    <fill>
      <patternFill patternType="solid">
        <fgColor theme="9" tint="0.39997558519241921"/>
        <bgColor indexed="64"/>
      </patternFill>
    </fill>
    <fill>
      <patternFill patternType="solid">
        <fgColor theme="4" tint="-0.249977111117893"/>
        <bgColor indexed="64"/>
      </patternFill>
    </fill>
    <fill>
      <patternFill patternType="solid">
        <fgColor rgb="FFFFC000"/>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7" tint="0.39997558519241921"/>
        <bgColor indexed="64"/>
      </patternFill>
    </fill>
    <fill>
      <patternFill patternType="solid">
        <fgColor theme="0" tint="-0.49998474074526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31" fillId="0" borderId="0" applyNumberFormat="0" applyFill="0" applyBorder="0" applyAlignment="0" applyProtection="0">
      <alignment vertical="top"/>
      <protection locked="0"/>
    </xf>
    <xf numFmtId="9" fontId="1" fillId="0" borderId="0" applyFont="0" applyFill="0" applyBorder="0" applyAlignment="0" applyProtection="0"/>
  </cellStyleXfs>
  <cellXfs count="419">
    <xf numFmtId="0" fontId="0" fillId="0" borderId="0" xfId="0"/>
    <xf numFmtId="0" fontId="3" fillId="0" borderId="0" xfId="0" applyFont="1"/>
    <xf numFmtId="0" fontId="7" fillId="0" borderId="0" xfId="0" applyFont="1"/>
    <xf numFmtId="0" fontId="7" fillId="0" borderId="0" xfId="0" applyFont="1" applyAlignment="1">
      <alignment horizontal="left"/>
    </xf>
    <xf numFmtId="0" fontId="12" fillId="0" borderId="0" xfId="0" applyFont="1" applyAlignment="1">
      <alignment horizontal="center"/>
    </xf>
    <xf numFmtId="0" fontId="1" fillId="0" borderId="0" xfId="0" applyFont="1"/>
    <xf numFmtId="0" fontId="15" fillId="0" borderId="0" xfId="0" applyFont="1"/>
    <xf numFmtId="0" fontId="19" fillId="0" borderId="0" xfId="0" applyFont="1"/>
    <xf numFmtId="0" fontId="17" fillId="0" borderId="0" xfId="0" applyFont="1"/>
    <xf numFmtId="3" fontId="17" fillId="0" borderId="0" xfId="0" applyNumberFormat="1" applyFont="1"/>
    <xf numFmtId="166" fontId="17" fillId="0" borderId="0" xfId="0" applyNumberFormat="1" applyFont="1"/>
    <xf numFmtId="0" fontId="18" fillId="0" borderId="0" xfId="0" applyFont="1"/>
    <xf numFmtId="3" fontId="17" fillId="0" borderId="0" xfId="0" applyNumberFormat="1" applyFont="1" applyAlignment="1">
      <alignment horizontal="center"/>
    </xf>
    <xf numFmtId="4" fontId="17" fillId="0" borderId="0" xfId="0" applyNumberFormat="1" applyFont="1"/>
    <xf numFmtId="3" fontId="20" fillId="0" borderId="0" xfId="0" applyNumberFormat="1" applyFont="1"/>
    <xf numFmtId="1" fontId="3" fillId="0" borderId="0" xfId="0" applyNumberFormat="1" applyFont="1"/>
    <xf numFmtId="0" fontId="16" fillId="0" borderId="0" xfId="0" applyFont="1"/>
    <xf numFmtId="0" fontId="14" fillId="0" borderId="0" xfId="0" applyFont="1" applyAlignment="1">
      <alignment horizontal="center"/>
    </xf>
    <xf numFmtId="0" fontId="24" fillId="0" borderId="0" xfId="0" applyFont="1"/>
    <xf numFmtId="0" fontId="26" fillId="0" borderId="0" xfId="0" applyFont="1" applyAlignment="1">
      <alignment horizontal="left"/>
    </xf>
    <xf numFmtId="0" fontId="25" fillId="0" borderId="0" xfId="0" applyFont="1" applyAlignment="1">
      <alignment horizontal="center"/>
    </xf>
    <xf numFmtId="2" fontId="27" fillId="0" borderId="0" xfId="0" applyNumberFormat="1" applyFont="1" applyAlignment="1">
      <alignment horizontal="center"/>
    </xf>
    <xf numFmtId="1" fontId="27" fillId="0" borderId="0" xfId="0" applyNumberFormat="1" applyFont="1" applyAlignment="1">
      <alignment horizontal="center"/>
    </xf>
    <xf numFmtId="0" fontId="11" fillId="0" borderId="0" xfId="0" applyFont="1"/>
    <xf numFmtId="0" fontId="3" fillId="0" borderId="0" xfId="0" applyFont="1" applyAlignment="1">
      <alignment horizontal="center"/>
    </xf>
    <xf numFmtId="2" fontId="9" fillId="0" borderId="0" xfId="0" applyNumberFormat="1" applyFont="1" applyAlignment="1">
      <alignment horizontal="center"/>
    </xf>
    <xf numFmtId="2" fontId="32" fillId="0" borderId="0" xfId="0" applyNumberFormat="1" applyFont="1" applyAlignment="1">
      <alignment horizontal="center"/>
    </xf>
    <xf numFmtId="2" fontId="12" fillId="0" borderId="0" xfId="0" applyNumberFormat="1" applyFont="1" applyAlignment="1">
      <alignment horizontal="center"/>
    </xf>
    <xf numFmtId="0" fontId="55" fillId="0" borderId="0" xfId="0" applyFont="1"/>
    <xf numFmtId="0" fontId="56" fillId="0" borderId="0" xfId="0" applyFont="1" applyAlignment="1">
      <alignment horizontal="left"/>
    </xf>
    <xf numFmtId="0" fontId="56" fillId="0" borderId="0" xfId="0" applyFont="1"/>
    <xf numFmtId="164" fontId="56" fillId="0" borderId="0" xfId="0" applyNumberFormat="1" applyFont="1"/>
    <xf numFmtId="0" fontId="57" fillId="0" borderId="0" xfId="0" applyFont="1" applyAlignment="1">
      <alignment horizontal="left"/>
    </xf>
    <xf numFmtId="0" fontId="58" fillId="0" borderId="0" xfId="0" applyFont="1" applyAlignment="1">
      <alignment horizontal="center"/>
    </xf>
    <xf numFmtId="2" fontId="56" fillId="0" borderId="0" xfId="0" applyNumberFormat="1" applyFont="1"/>
    <xf numFmtId="2" fontId="57" fillId="0" borderId="0" xfId="0" applyNumberFormat="1" applyFont="1"/>
    <xf numFmtId="0" fontId="59" fillId="0" borderId="0" xfId="0" applyFont="1" applyAlignment="1">
      <alignment horizontal="center"/>
    </xf>
    <xf numFmtId="0" fontId="60" fillId="0" borderId="0" xfId="0" applyFont="1" applyAlignment="1">
      <alignment horizontal="center"/>
    </xf>
    <xf numFmtId="3" fontId="60" fillId="0" borderId="0" xfId="0" applyNumberFormat="1" applyFont="1" applyAlignment="1">
      <alignment horizontal="center"/>
    </xf>
    <xf numFmtId="168" fontId="60" fillId="0" borderId="0" xfId="0" applyNumberFormat="1" applyFont="1" applyAlignment="1">
      <alignment horizontal="center"/>
    </xf>
    <xf numFmtId="10" fontId="61" fillId="0" borderId="0" xfId="2" applyNumberFormat="1" applyFont="1"/>
    <xf numFmtId="166" fontId="60" fillId="0" borderId="0" xfId="0" applyNumberFormat="1" applyFont="1" applyAlignment="1">
      <alignment horizontal="center"/>
    </xf>
    <xf numFmtId="2" fontId="3" fillId="0" borderId="0" xfId="0" applyNumberFormat="1" applyFont="1"/>
    <xf numFmtId="0" fontId="36" fillId="0" borderId="0" xfId="0" applyFont="1"/>
    <xf numFmtId="0" fontId="33" fillId="0" borderId="0" xfId="0" applyFont="1"/>
    <xf numFmtId="0" fontId="62" fillId="0" borderId="0" xfId="0" applyFont="1"/>
    <xf numFmtId="0" fontId="25" fillId="0" borderId="0" xfId="0" applyFont="1"/>
    <xf numFmtId="164" fontId="3" fillId="0" borderId="0" xfId="0" applyNumberFormat="1" applyFont="1"/>
    <xf numFmtId="0" fontId="63" fillId="0" borderId="0" xfId="0" applyFont="1"/>
    <xf numFmtId="2" fontId="64" fillId="0" borderId="0" xfId="0" applyNumberFormat="1" applyFont="1"/>
    <xf numFmtId="0" fontId="58" fillId="0" borderId="0" xfId="0" applyFont="1"/>
    <xf numFmtId="165" fontId="3" fillId="0" borderId="0" xfId="0" applyNumberFormat="1" applyFont="1"/>
    <xf numFmtId="0" fontId="16" fillId="0" borderId="0" xfId="0" applyFont="1" applyAlignment="1">
      <alignment horizontal="center"/>
    </xf>
    <xf numFmtId="0" fontId="65" fillId="0" borderId="0" xfId="0" applyFont="1"/>
    <xf numFmtId="0" fontId="54" fillId="0" borderId="0" xfId="0" applyFont="1"/>
    <xf numFmtId="0" fontId="66" fillId="0" borderId="0" xfId="0" applyFont="1" applyAlignment="1">
      <alignment horizontal="center"/>
    </xf>
    <xf numFmtId="2" fontId="67" fillId="0" borderId="0" xfId="0" applyNumberFormat="1" applyFont="1" applyAlignment="1">
      <alignment horizontal="center"/>
    </xf>
    <xf numFmtId="2" fontId="59" fillId="0" borderId="0" xfId="0" applyNumberFormat="1" applyFont="1" applyAlignment="1">
      <alignment horizontal="center"/>
    </xf>
    <xf numFmtId="0" fontId="37" fillId="0" borderId="0" xfId="0" applyFont="1" applyAlignment="1">
      <alignment horizontal="center"/>
    </xf>
    <xf numFmtId="164" fontId="68" fillId="0" borderId="0" xfId="0" applyNumberFormat="1" applyFont="1"/>
    <xf numFmtId="0" fontId="68" fillId="0" borderId="0" xfId="0" applyFont="1" applyAlignment="1">
      <alignment horizontal="center"/>
    </xf>
    <xf numFmtId="0" fontId="69" fillId="2" borderId="0" xfId="0" applyFont="1" applyFill="1" applyAlignment="1">
      <alignment horizontal="center"/>
    </xf>
    <xf numFmtId="0" fontId="69" fillId="2" borderId="0" xfId="0" applyFont="1" applyFill="1" applyAlignment="1">
      <alignment horizontal="center" vertical="center"/>
    </xf>
    <xf numFmtId="0" fontId="0" fillId="3" borderId="0" xfId="0" applyFill="1"/>
    <xf numFmtId="0" fontId="70" fillId="3" borderId="0" xfId="0" applyFont="1" applyFill="1"/>
    <xf numFmtId="0" fontId="0" fillId="3" borderId="0" xfId="0" applyFill="1" applyAlignment="1">
      <alignment horizontal="center" vertical="center"/>
    </xf>
    <xf numFmtId="0" fontId="0" fillId="4" borderId="0" xfId="0" applyFill="1" applyAlignment="1">
      <alignment horizontal="center" vertical="center"/>
    </xf>
    <xf numFmtId="0" fontId="0" fillId="2" borderId="0" xfId="0" applyFill="1" applyAlignment="1">
      <alignment horizontal="center" vertical="center"/>
    </xf>
    <xf numFmtId="0" fontId="39" fillId="0" borderId="0" xfId="0" applyFont="1" applyAlignment="1">
      <alignment horizontal="center" vertical="center"/>
    </xf>
    <xf numFmtId="0" fontId="71" fillId="2" borderId="0" xfId="0" applyFont="1" applyFill="1" applyAlignment="1">
      <alignment horizontal="center" vertical="center" wrapText="1"/>
    </xf>
    <xf numFmtId="0" fontId="0" fillId="3" borderId="0" xfId="0" applyFill="1" applyAlignment="1">
      <alignment vertical="center"/>
    </xf>
    <xf numFmtId="0" fontId="0" fillId="4" borderId="0" xfId="0" applyFill="1" applyAlignment="1">
      <alignment vertical="center"/>
    </xf>
    <xf numFmtId="0" fontId="33" fillId="2" borderId="0" xfId="0" applyFont="1" applyFill="1" applyAlignment="1">
      <alignment horizontal="center" vertical="center"/>
    </xf>
    <xf numFmtId="169" fontId="72" fillId="3" borderId="0" xfId="0" applyNumberFormat="1" applyFont="1" applyFill="1" applyAlignment="1">
      <alignment horizontal="left" vertical="center"/>
    </xf>
    <xf numFmtId="1" fontId="70" fillId="3" borderId="0" xfId="0" applyNumberFormat="1" applyFont="1" applyFill="1" applyAlignment="1">
      <alignment horizontal="left"/>
    </xf>
    <xf numFmtId="0" fontId="0" fillId="2" borderId="0" xfId="0" applyFill="1" applyAlignment="1">
      <alignment horizontal="left" vertical="center"/>
    </xf>
    <xf numFmtId="0" fontId="70" fillId="3" borderId="0" xfId="0" applyFont="1" applyFill="1" applyAlignment="1">
      <alignment horizontal="left"/>
    </xf>
    <xf numFmtId="0" fontId="39" fillId="3" borderId="0" xfId="0" applyFont="1" applyFill="1" applyAlignment="1">
      <alignment horizontal="left" vertical="center"/>
    </xf>
    <xf numFmtId="0" fontId="39" fillId="4" borderId="0" xfId="0" applyFont="1" applyFill="1" applyAlignment="1">
      <alignment horizontal="left" vertical="center"/>
    </xf>
    <xf numFmtId="0" fontId="33" fillId="2" borderId="0" xfId="0" applyFont="1" applyFill="1" applyAlignment="1">
      <alignment horizontal="left" vertical="center"/>
    </xf>
    <xf numFmtId="170" fontId="72" fillId="3" borderId="0" xfId="0" applyNumberFormat="1" applyFont="1" applyFill="1" applyAlignment="1">
      <alignment horizontal="left" vertical="center"/>
    </xf>
    <xf numFmtId="0" fontId="39" fillId="3" borderId="0" xfId="0" applyFont="1" applyFill="1" applyAlignment="1">
      <alignment horizontal="center" vertical="center"/>
    </xf>
    <xf numFmtId="0" fontId="33" fillId="3" borderId="0" xfId="0" applyFont="1" applyFill="1" applyAlignment="1">
      <alignment horizontal="left" vertical="center"/>
    </xf>
    <xf numFmtId="0" fontId="0" fillId="4" borderId="0" xfId="0" applyFill="1" applyAlignment="1">
      <alignment horizontal="left" vertical="center"/>
    </xf>
    <xf numFmtId="0" fontId="16" fillId="5" borderId="1" xfId="0" applyFont="1" applyFill="1" applyBorder="1" applyAlignment="1">
      <alignment vertical="center"/>
    </xf>
    <xf numFmtId="0" fontId="0" fillId="2" borderId="0" xfId="0" applyFill="1" applyAlignment="1">
      <alignment vertical="center"/>
    </xf>
    <xf numFmtId="171" fontId="16" fillId="2" borderId="1" xfId="0" applyNumberFormat="1" applyFont="1" applyFill="1" applyBorder="1" applyAlignment="1">
      <alignment horizontal="right" vertical="center"/>
    </xf>
    <xf numFmtId="0" fontId="16" fillId="3" borderId="0" xfId="0" applyFont="1" applyFill="1" applyAlignment="1">
      <alignment vertical="center"/>
    </xf>
    <xf numFmtId="0" fontId="16" fillId="6" borderId="1" xfId="0" applyFont="1" applyFill="1" applyBorder="1" applyAlignment="1" applyProtection="1">
      <alignment horizontal="center" vertical="center"/>
      <protection locked="0"/>
    </xf>
    <xf numFmtId="0" fontId="16" fillId="7" borderId="0" xfId="0" applyFont="1" applyFill="1" applyAlignment="1">
      <alignment horizontal="center" vertical="center"/>
    </xf>
    <xf numFmtId="0" fontId="16" fillId="6" borderId="2" xfId="0" applyFont="1" applyFill="1" applyBorder="1" applyAlignment="1" applyProtection="1">
      <alignment horizontal="center" vertical="center"/>
      <protection locked="0"/>
    </xf>
    <xf numFmtId="0" fontId="0" fillId="0" borderId="1" xfId="0" applyBorder="1" applyAlignment="1">
      <alignment horizontal="left" vertical="center"/>
    </xf>
    <xf numFmtId="0" fontId="16" fillId="3" borderId="0" xfId="0" applyFont="1" applyFill="1" applyAlignment="1">
      <alignment horizontal="left" vertical="center"/>
    </xf>
    <xf numFmtId="0" fontId="16" fillId="8" borderId="1" xfId="0" applyFont="1" applyFill="1" applyBorder="1" applyAlignment="1">
      <alignment horizontal="center" vertical="center"/>
    </xf>
    <xf numFmtId="172" fontId="16" fillId="2" borderId="1" xfId="0" applyNumberFormat="1" applyFont="1" applyFill="1" applyBorder="1" applyAlignment="1">
      <alignment horizontal="right" vertical="center"/>
    </xf>
    <xf numFmtId="0" fontId="33" fillId="3" borderId="0" xfId="0" applyFont="1" applyFill="1" applyAlignment="1">
      <alignment vertical="center"/>
    </xf>
    <xf numFmtId="0" fontId="16" fillId="5" borderId="1" xfId="0" applyFont="1" applyFill="1" applyBorder="1" applyAlignment="1">
      <alignment horizontal="left" vertical="center"/>
    </xf>
    <xf numFmtId="0" fontId="16" fillId="3" borderId="0" xfId="0" applyFont="1" applyFill="1" applyAlignment="1">
      <alignment horizontal="center" vertical="center"/>
    </xf>
    <xf numFmtId="0" fontId="43" fillId="9" borderId="1" xfId="0" applyFont="1" applyFill="1" applyBorder="1" applyAlignment="1">
      <alignment horizontal="right" vertical="center" wrapText="1"/>
    </xf>
    <xf numFmtId="174" fontId="16" fillId="2" borderId="1" xfId="0" applyNumberFormat="1" applyFont="1" applyFill="1" applyBorder="1" applyAlignment="1">
      <alignment horizontal="right" vertical="center"/>
    </xf>
    <xf numFmtId="0" fontId="0" fillId="3" borderId="0" xfId="0" applyFill="1" applyAlignment="1">
      <alignment horizontal="left" vertical="center"/>
    </xf>
    <xf numFmtId="176" fontId="16" fillId="6" borderId="2" xfId="0" applyNumberFormat="1" applyFont="1" applyFill="1" applyBorder="1" applyAlignment="1" applyProtection="1">
      <alignment horizontal="center" vertical="center"/>
      <protection locked="0"/>
    </xf>
    <xf numFmtId="176" fontId="16" fillId="6" borderId="3" xfId="0" applyNumberFormat="1" applyFont="1" applyFill="1" applyBorder="1" applyAlignment="1" applyProtection="1">
      <alignment horizontal="center" vertical="center"/>
      <protection locked="0"/>
    </xf>
    <xf numFmtId="175" fontId="16" fillId="6" borderId="4" xfId="0" applyNumberFormat="1" applyFont="1" applyFill="1" applyBorder="1" applyAlignment="1" applyProtection="1">
      <alignment horizontal="right" vertical="center"/>
      <protection locked="0"/>
    </xf>
    <xf numFmtId="172" fontId="16" fillId="9" borderId="1" xfId="0" applyNumberFormat="1" applyFont="1" applyFill="1" applyBorder="1" applyAlignment="1">
      <alignment horizontal="right" vertical="center" wrapText="1"/>
    </xf>
    <xf numFmtId="177" fontId="16" fillId="2" borderId="1" xfId="0" applyNumberFormat="1" applyFont="1" applyFill="1" applyBorder="1" applyAlignment="1">
      <alignment horizontal="right" vertical="center"/>
    </xf>
    <xf numFmtId="173" fontId="0" fillId="3" borderId="0" xfId="0" applyNumberFormat="1" applyFill="1" applyAlignment="1">
      <alignment vertical="center"/>
    </xf>
    <xf numFmtId="172" fontId="16" fillId="9" borderId="1" xfId="0" applyNumberFormat="1" applyFont="1" applyFill="1" applyBorder="1" applyAlignment="1">
      <alignment horizontal="right" vertical="center"/>
    </xf>
    <xf numFmtId="175" fontId="16" fillId="2" borderId="1" xfId="0" applyNumberFormat="1" applyFont="1" applyFill="1" applyBorder="1" applyAlignment="1">
      <alignment horizontal="right" vertical="center"/>
    </xf>
    <xf numFmtId="0" fontId="55" fillId="3" borderId="0" xfId="0" applyFont="1" applyFill="1" applyAlignment="1">
      <alignment vertical="center"/>
    </xf>
    <xf numFmtId="173" fontId="55" fillId="3" borderId="0" xfId="0" applyNumberFormat="1" applyFont="1" applyFill="1" applyAlignment="1">
      <alignment vertical="center"/>
    </xf>
    <xf numFmtId="178" fontId="16" fillId="2" borderId="1" xfId="0" applyNumberFormat="1" applyFont="1" applyFill="1" applyBorder="1" applyAlignment="1">
      <alignment horizontal="center" vertical="center"/>
    </xf>
    <xf numFmtId="177" fontId="16" fillId="2" borderId="1" xfId="0" applyNumberFormat="1" applyFont="1" applyFill="1" applyBorder="1" applyAlignment="1">
      <alignment horizontal="center" vertical="center"/>
    </xf>
    <xf numFmtId="179" fontId="0" fillId="3" borderId="0" xfId="0" applyNumberFormat="1" applyFill="1" applyAlignment="1">
      <alignment horizontal="center" vertical="center"/>
    </xf>
    <xf numFmtId="171" fontId="16" fillId="2" borderId="1" xfId="0" applyNumberFormat="1" applyFont="1" applyFill="1" applyBorder="1" applyAlignment="1">
      <alignment horizontal="center" vertical="center"/>
    </xf>
    <xf numFmtId="172" fontId="16" fillId="2" borderId="1" xfId="0" applyNumberFormat="1" applyFont="1" applyFill="1" applyBorder="1" applyAlignment="1">
      <alignment horizontal="center" vertical="center"/>
    </xf>
    <xf numFmtId="180" fontId="16" fillId="9" borderId="1" xfId="0" applyNumberFormat="1" applyFont="1" applyFill="1" applyBorder="1" applyAlignment="1">
      <alignment horizontal="right" vertical="center"/>
    </xf>
    <xf numFmtId="181" fontId="16" fillId="2" borderId="1" xfId="0" applyNumberFormat="1" applyFont="1" applyFill="1" applyBorder="1" applyAlignment="1">
      <alignment horizontal="right" vertical="center"/>
    </xf>
    <xf numFmtId="172" fontId="39" fillId="9" borderId="1" xfId="0" applyNumberFormat="1" applyFont="1" applyFill="1" applyBorder="1" applyAlignment="1">
      <alignment horizontal="right" vertical="center"/>
    </xf>
    <xf numFmtId="0" fontId="73" fillId="2" borderId="0" xfId="0" applyFont="1" applyFill="1" applyAlignment="1">
      <alignment vertical="center"/>
    </xf>
    <xf numFmtId="182" fontId="16" fillId="2" borderId="1" xfId="0" applyNumberFormat="1" applyFont="1" applyFill="1" applyBorder="1" applyAlignment="1">
      <alignment horizontal="right" vertical="center"/>
    </xf>
    <xf numFmtId="182" fontId="16" fillId="9" borderId="1" xfId="0" applyNumberFormat="1" applyFont="1" applyFill="1" applyBorder="1" applyAlignment="1">
      <alignment horizontal="right" vertical="center"/>
    </xf>
    <xf numFmtId="0" fontId="0" fillId="2" borderId="0" xfId="0" applyFill="1" applyAlignment="1">
      <alignment horizontal="center"/>
    </xf>
    <xf numFmtId="173" fontId="0" fillId="3" borderId="0" xfId="0" applyNumberFormat="1" applyFill="1" applyAlignment="1">
      <alignment horizontal="right" vertical="center"/>
    </xf>
    <xf numFmtId="0" fontId="39" fillId="3" borderId="0" xfId="0" applyFont="1" applyFill="1" applyAlignment="1">
      <alignment horizontal="right" vertical="center"/>
    </xf>
    <xf numFmtId="173" fontId="55" fillId="3" borderId="0" xfId="0" applyNumberFormat="1" applyFont="1" applyFill="1" applyAlignment="1">
      <alignment horizontal="right" vertical="center"/>
    </xf>
    <xf numFmtId="173" fontId="0" fillId="3" borderId="0" xfId="0" applyNumberFormat="1" applyFill="1" applyAlignment="1">
      <alignment horizontal="center" vertical="center"/>
    </xf>
    <xf numFmtId="0" fontId="0" fillId="2" borderId="0" xfId="0" applyFill="1"/>
    <xf numFmtId="184" fontId="16" fillId="9" borderId="1" xfId="0" applyNumberFormat="1" applyFont="1" applyFill="1" applyBorder="1" applyAlignment="1">
      <alignment horizontal="right" vertical="center"/>
    </xf>
    <xf numFmtId="184" fontId="0" fillId="2" borderId="0" xfId="0" applyNumberFormat="1" applyFill="1"/>
    <xf numFmtId="0" fontId="39" fillId="10" borderId="1" xfId="0" applyFont="1" applyFill="1" applyBorder="1" applyAlignment="1">
      <alignment vertical="center"/>
    </xf>
    <xf numFmtId="172" fontId="39" fillId="10" borderId="1" xfId="0" applyNumberFormat="1" applyFont="1" applyFill="1" applyBorder="1" applyAlignment="1">
      <alignment horizontal="right" vertical="center"/>
    </xf>
    <xf numFmtId="0" fontId="39" fillId="7" borderId="1" xfId="0" applyFont="1" applyFill="1" applyBorder="1" applyAlignment="1">
      <alignment vertical="center"/>
    </xf>
    <xf numFmtId="171" fontId="16" fillId="7" borderId="1" xfId="0" applyNumberFormat="1" applyFont="1" applyFill="1" applyBorder="1" applyAlignment="1">
      <alignment horizontal="center" vertical="center"/>
    </xf>
    <xf numFmtId="0" fontId="16" fillId="11" borderId="1" xfId="0" applyFont="1" applyFill="1" applyBorder="1" applyAlignment="1" applyProtection="1">
      <alignment horizontal="center" vertical="center"/>
      <protection locked="0"/>
    </xf>
    <xf numFmtId="0" fontId="16" fillId="2" borderId="1" xfId="0" applyFont="1" applyFill="1" applyBorder="1" applyAlignment="1">
      <alignment vertical="center"/>
    </xf>
    <xf numFmtId="171" fontId="74" fillId="2" borderId="1" xfId="0" applyNumberFormat="1" applyFont="1" applyFill="1" applyBorder="1" applyAlignment="1">
      <alignment horizontal="center" vertical="center"/>
    </xf>
    <xf numFmtId="173" fontId="33" fillId="3" borderId="0" xfId="0" applyNumberFormat="1" applyFont="1" applyFill="1" applyAlignment="1">
      <alignment vertical="center"/>
    </xf>
    <xf numFmtId="0" fontId="75" fillId="2" borderId="0" xfId="0" applyFont="1" applyFill="1"/>
    <xf numFmtId="4" fontId="76" fillId="2" borderId="0" xfId="0" applyNumberFormat="1" applyFont="1" applyFill="1" applyAlignment="1">
      <alignment horizontal="center" vertical="center"/>
    </xf>
    <xf numFmtId="0" fontId="33" fillId="3" borderId="0" xfId="0" applyFont="1" applyFill="1"/>
    <xf numFmtId="0" fontId="44" fillId="5" borderId="1" xfId="0" applyFont="1" applyFill="1" applyBorder="1" applyAlignment="1">
      <alignment vertical="center"/>
    </xf>
    <xf numFmtId="0" fontId="44" fillId="2" borderId="1" xfId="0" applyFont="1" applyFill="1" applyBorder="1" applyAlignment="1">
      <alignment vertical="center"/>
    </xf>
    <xf numFmtId="180" fontId="16" fillId="3" borderId="0" xfId="0" applyNumberFormat="1" applyFont="1" applyFill="1" applyAlignment="1">
      <alignment horizontal="center" vertical="center"/>
    </xf>
    <xf numFmtId="185" fontId="16" fillId="3" borderId="0" xfId="0" applyNumberFormat="1" applyFont="1" applyFill="1" applyAlignment="1">
      <alignment horizontal="center" vertical="center"/>
    </xf>
    <xf numFmtId="185" fontId="77" fillId="3" borderId="0" xfId="0" applyNumberFormat="1" applyFont="1" applyFill="1" applyAlignment="1">
      <alignment horizontal="center" vertical="center"/>
    </xf>
    <xf numFmtId="0" fontId="16" fillId="2" borderId="0" xfId="0" applyFont="1" applyFill="1" applyAlignment="1">
      <alignment vertical="center"/>
    </xf>
    <xf numFmtId="180" fontId="77" fillId="3" borderId="0" xfId="0" applyNumberFormat="1" applyFont="1" applyFill="1" applyAlignment="1">
      <alignment horizontal="center" vertical="center"/>
    </xf>
    <xf numFmtId="0" fontId="0" fillId="12" borderId="0" xfId="0" applyFill="1" applyAlignment="1">
      <alignment horizontal="center" vertical="center"/>
    </xf>
    <xf numFmtId="0" fontId="16" fillId="6" borderId="1" xfId="0" applyFont="1" applyFill="1" applyBorder="1" applyAlignment="1" applyProtection="1">
      <alignment vertical="center"/>
      <protection locked="0"/>
    </xf>
    <xf numFmtId="0" fontId="16" fillId="0" borderId="1" xfId="0" applyFont="1" applyBorder="1" applyAlignment="1">
      <alignment vertical="center"/>
    </xf>
    <xf numFmtId="171" fontId="74" fillId="0" borderId="1" xfId="0" applyNumberFormat="1" applyFont="1" applyBorder="1" applyAlignment="1">
      <alignment horizontal="center" vertical="center"/>
    </xf>
    <xf numFmtId="0" fontId="78" fillId="2" borderId="0" xfId="0" applyFont="1" applyFill="1" applyAlignment="1">
      <alignment horizontal="center" vertical="center"/>
    </xf>
    <xf numFmtId="180" fontId="0" fillId="3" borderId="0" xfId="0" applyNumberFormat="1" applyFill="1" applyAlignment="1">
      <alignment horizontal="center" vertical="center"/>
    </xf>
    <xf numFmtId="180" fontId="55" fillId="3" borderId="0" xfId="0" applyNumberFormat="1" applyFont="1" applyFill="1" applyAlignment="1">
      <alignment horizontal="center" vertical="center"/>
    </xf>
    <xf numFmtId="173" fontId="79" fillId="3" borderId="0" xfId="0" applyNumberFormat="1" applyFont="1" applyFill="1" applyAlignment="1">
      <alignment vertical="center"/>
    </xf>
    <xf numFmtId="186" fontId="77" fillId="3" borderId="0" xfId="0" applyNumberFormat="1" applyFont="1" applyFill="1" applyAlignment="1">
      <alignment horizontal="center" vertical="center"/>
    </xf>
    <xf numFmtId="185" fontId="80" fillId="3" borderId="0" xfId="0" applyNumberFormat="1" applyFont="1" applyFill="1" applyAlignment="1">
      <alignment horizontal="center" vertical="center"/>
    </xf>
    <xf numFmtId="186" fontId="16" fillId="3" borderId="0" xfId="0" applyNumberFormat="1" applyFont="1" applyFill="1" applyAlignment="1">
      <alignment horizontal="center" vertical="center"/>
    </xf>
    <xf numFmtId="0" fontId="0" fillId="12" borderId="0" xfId="0" applyFill="1" applyAlignment="1">
      <alignment vertical="center"/>
    </xf>
    <xf numFmtId="0" fontId="81" fillId="2" borderId="0" xfId="0" applyFont="1" applyFill="1" applyAlignment="1">
      <alignment vertical="center"/>
    </xf>
    <xf numFmtId="0" fontId="0" fillId="12" borderId="0" xfId="0" applyFill="1"/>
    <xf numFmtId="0" fontId="39" fillId="12" borderId="0" xfId="0" applyFont="1" applyFill="1" applyAlignment="1">
      <alignment horizontal="left" vertical="center"/>
    </xf>
    <xf numFmtId="172" fontId="16" fillId="13" borderId="1" xfId="0" applyNumberFormat="1" applyFont="1" applyFill="1" applyBorder="1" applyAlignment="1">
      <alignment vertical="center"/>
    </xf>
    <xf numFmtId="187" fontId="16" fillId="2" borderId="0" xfId="0" applyNumberFormat="1" applyFont="1" applyFill="1" applyAlignment="1">
      <alignment horizontal="center" vertical="center"/>
    </xf>
    <xf numFmtId="0" fontId="3" fillId="2" borderId="0" xfId="0" applyFont="1" applyFill="1"/>
    <xf numFmtId="0" fontId="82" fillId="2" borderId="0" xfId="0" applyFont="1" applyFill="1" applyAlignment="1">
      <alignment horizontal="center" vertical="center"/>
    </xf>
    <xf numFmtId="0" fontId="0" fillId="0" borderId="0" xfId="0" applyAlignment="1">
      <alignment vertical="center"/>
    </xf>
    <xf numFmtId="171" fontId="0" fillId="0" borderId="0" xfId="0" applyNumberFormat="1"/>
    <xf numFmtId="0" fontId="16" fillId="0" borderId="1" xfId="0" applyFont="1" applyBorder="1"/>
    <xf numFmtId="171" fontId="16" fillId="0" borderId="1" xfId="0" applyNumberFormat="1" applyFont="1" applyBorder="1"/>
    <xf numFmtId="172" fontId="16" fillId="0" borderId="1" xfId="0" applyNumberFormat="1" applyFont="1" applyBorder="1"/>
    <xf numFmtId="174" fontId="16" fillId="0" borderId="1" xfId="0" applyNumberFormat="1" applyFont="1" applyBorder="1"/>
    <xf numFmtId="177" fontId="16" fillId="0" borderId="1" xfId="0" applyNumberFormat="1" applyFont="1" applyBorder="1"/>
    <xf numFmtId="175" fontId="16" fillId="0" borderId="1" xfId="0" applyNumberFormat="1" applyFont="1" applyBorder="1"/>
    <xf numFmtId="181" fontId="16" fillId="0" borderId="1" xfId="0" applyNumberFormat="1" applyFont="1" applyBorder="1"/>
    <xf numFmtId="182" fontId="16" fillId="0" borderId="1" xfId="0" applyNumberFormat="1" applyFont="1" applyBorder="1"/>
    <xf numFmtId="179" fontId="3" fillId="0" borderId="0" xfId="0" applyNumberFormat="1" applyFont="1" applyAlignment="1">
      <alignment vertical="center"/>
    </xf>
    <xf numFmtId="180" fontId="3" fillId="0" borderId="0" xfId="0" applyNumberFormat="1" applyFont="1" applyAlignment="1">
      <alignment vertical="center"/>
    </xf>
    <xf numFmtId="0" fontId="49" fillId="0" borderId="0" xfId="0" applyFont="1" applyAlignment="1">
      <alignment horizontal="left" vertical="top"/>
    </xf>
    <xf numFmtId="0" fontId="33" fillId="0" borderId="0" xfId="0" applyFont="1" applyAlignment="1">
      <alignment horizontal="left" vertical="top" wrapText="1"/>
    </xf>
    <xf numFmtId="0" fontId="3" fillId="0" borderId="0" xfId="0" applyFont="1" applyAlignment="1">
      <alignment vertical="center"/>
    </xf>
    <xf numFmtId="0" fontId="4" fillId="9" borderId="1" xfId="0" applyFont="1" applyFill="1" applyBorder="1" applyAlignment="1">
      <alignment vertical="center"/>
    </xf>
    <xf numFmtId="0" fontId="3" fillId="5" borderId="1" xfId="0" applyFont="1" applyFill="1" applyBorder="1" applyAlignment="1">
      <alignment vertical="center"/>
    </xf>
    <xf numFmtId="185" fontId="5" fillId="5" borderId="1" xfId="0" applyNumberFormat="1" applyFont="1" applyFill="1" applyBorder="1" applyAlignment="1">
      <alignment vertical="center"/>
    </xf>
    <xf numFmtId="0" fontId="83" fillId="14" borderId="1" xfId="0" applyFont="1" applyFill="1" applyBorder="1" applyAlignment="1">
      <alignment vertical="center"/>
    </xf>
    <xf numFmtId="179" fontId="83" fillId="15" borderId="5" xfId="0" applyNumberFormat="1" applyFont="1" applyFill="1" applyBorder="1" applyAlignment="1">
      <alignment vertical="center"/>
    </xf>
    <xf numFmtId="174" fontId="83" fillId="15" borderId="1" xfId="0" applyNumberFormat="1" applyFont="1" applyFill="1" applyBorder="1" applyAlignment="1">
      <alignment vertical="center"/>
    </xf>
    <xf numFmtId="0" fontId="7" fillId="14" borderId="1" xfId="0" applyFont="1" applyFill="1" applyBorder="1" applyAlignment="1">
      <alignment vertical="center"/>
    </xf>
    <xf numFmtId="179" fontId="7" fillId="0" borderId="1" xfId="0" applyNumberFormat="1" applyFont="1" applyBorder="1" applyAlignment="1">
      <alignment vertical="center"/>
    </xf>
    <xf numFmtId="175" fontId="83" fillId="0" borderId="1" xfId="0" applyNumberFormat="1" applyFont="1" applyBorder="1" applyAlignment="1">
      <alignment vertical="center"/>
    </xf>
    <xf numFmtId="0" fontId="3" fillId="14" borderId="1" xfId="0" applyFont="1" applyFill="1" applyBorder="1" applyAlignment="1">
      <alignment vertical="center"/>
    </xf>
    <xf numFmtId="179" fontId="3" fillId="0" borderId="1" xfId="0" applyNumberFormat="1" applyFont="1" applyBorder="1" applyAlignment="1">
      <alignment vertical="center"/>
    </xf>
    <xf numFmtId="175" fontId="3" fillId="0" borderId="1" xfId="0" applyNumberFormat="1" applyFont="1" applyBorder="1" applyAlignment="1">
      <alignment vertical="center"/>
    </xf>
    <xf numFmtId="0" fontId="4" fillId="14" borderId="1" xfId="0" applyFont="1" applyFill="1" applyBorder="1" applyAlignment="1">
      <alignment vertical="center"/>
    </xf>
    <xf numFmtId="0" fontId="33" fillId="0" borderId="1" xfId="0" applyFont="1" applyBorder="1" applyAlignment="1">
      <alignment horizontal="center" vertical="center"/>
    </xf>
    <xf numFmtId="189" fontId="7" fillId="0" borderId="1" xfId="0" applyNumberFormat="1" applyFont="1" applyBorder="1" applyAlignment="1">
      <alignment vertical="center"/>
    </xf>
    <xf numFmtId="190" fontId="4" fillId="0" borderId="1" xfId="0" applyNumberFormat="1" applyFont="1" applyBorder="1" applyAlignment="1">
      <alignment horizontal="center" vertical="center"/>
    </xf>
    <xf numFmtId="191" fontId="4" fillId="0" borderId="1" xfId="0" applyNumberFormat="1" applyFont="1" applyBorder="1" applyAlignment="1">
      <alignment horizontal="center" vertical="center"/>
    </xf>
    <xf numFmtId="192" fontId="7" fillId="0" borderId="1" xfId="0" applyNumberFormat="1" applyFont="1" applyBorder="1" applyAlignment="1">
      <alignment vertical="center"/>
    </xf>
    <xf numFmtId="0" fontId="7" fillId="0" borderId="1" xfId="0" applyFont="1" applyBorder="1" applyAlignment="1">
      <alignment vertical="center"/>
    </xf>
    <xf numFmtId="0" fontId="4" fillId="16" borderId="2" xfId="0" applyFont="1" applyFill="1" applyBorder="1" applyAlignment="1">
      <alignment vertical="center"/>
    </xf>
    <xf numFmtId="0" fontId="7" fillId="14" borderId="2" xfId="0" applyFont="1" applyFill="1" applyBorder="1" applyAlignment="1">
      <alignment vertical="center"/>
    </xf>
    <xf numFmtId="0" fontId="50" fillId="15" borderId="1" xfId="0" applyFont="1" applyFill="1" applyBorder="1" applyAlignment="1">
      <alignment horizontal="center" vertical="center"/>
    </xf>
    <xf numFmtId="0" fontId="50" fillId="0" borderId="0" xfId="0" applyFont="1" applyAlignment="1">
      <alignment horizontal="center"/>
    </xf>
    <xf numFmtId="180" fontId="7" fillId="15" borderId="1" xfId="0" applyNumberFormat="1" applyFont="1" applyFill="1" applyBorder="1" applyAlignment="1">
      <alignment vertical="center"/>
    </xf>
    <xf numFmtId="193" fontId="7" fillId="0" borderId="1" xfId="0" applyNumberFormat="1" applyFont="1" applyBorder="1" applyAlignment="1">
      <alignment vertical="center"/>
    </xf>
    <xf numFmtId="194" fontId="7" fillId="0" borderId="1" xfId="0" applyNumberFormat="1" applyFont="1" applyBorder="1" applyAlignment="1">
      <alignment vertical="center"/>
    </xf>
    <xf numFmtId="195" fontId="7" fillId="0" borderId="1" xfId="0" applyNumberFormat="1" applyFont="1" applyBorder="1" applyAlignment="1">
      <alignment vertical="center"/>
    </xf>
    <xf numFmtId="0" fontId="59" fillId="14" borderId="1" xfId="0" applyFont="1" applyFill="1" applyBorder="1" applyAlignment="1">
      <alignment horizontal="center" vertical="center"/>
    </xf>
    <xf numFmtId="0" fontId="59" fillId="0" borderId="1" xfId="0" applyFont="1" applyBorder="1" applyAlignment="1">
      <alignment horizontal="center" vertical="center"/>
    </xf>
    <xf numFmtId="186" fontId="7" fillId="15" borderId="1" xfId="0" applyNumberFormat="1" applyFont="1" applyFill="1" applyBorder="1" applyAlignment="1">
      <alignment vertical="center"/>
    </xf>
    <xf numFmtId="180" fontId="3" fillId="0" borderId="0" xfId="0" applyNumberFormat="1" applyFont="1"/>
    <xf numFmtId="196" fontId="7" fillId="15" borderId="1" xfId="0" applyNumberFormat="1" applyFont="1" applyFill="1" applyBorder="1" applyAlignment="1">
      <alignment vertical="center"/>
    </xf>
    <xf numFmtId="0" fontId="3" fillId="0" borderId="1" xfId="0" applyFont="1" applyBorder="1"/>
    <xf numFmtId="197" fontId="7" fillId="0" borderId="1" xfId="0" applyNumberFormat="1" applyFont="1" applyBorder="1" applyAlignment="1">
      <alignment vertical="center"/>
    </xf>
    <xf numFmtId="0" fontId="83" fillId="14" borderId="2" xfId="0" applyFont="1" applyFill="1" applyBorder="1" applyAlignment="1">
      <alignment vertical="center"/>
    </xf>
    <xf numFmtId="198" fontId="83" fillId="0" borderId="1" xfId="0" applyNumberFormat="1" applyFont="1" applyBorder="1" applyAlignment="1">
      <alignment vertical="center"/>
    </xf>
    <xf numFmtId="197" fontId="7" fillId="15" borderId="1" xfId="0" applyNumberFormat="1" applyFont="1" applyFill="1" applyBorder="1" applyAlignment="1">
      <alignment vertical="center"/>
    </xf>
    <xf numFmtId="0" fontId="4" fillId="16" borderId="1" xfId="0" applyFont="1" applyFill="1" applyBorder="1" applyAlignment="1">
      <alignment vertical="center"/>
    </xf>
    <xf numFmtId="0" fontId="3" fillId="5" borderId="2" xfId="0" applyFont="1" applyFill="1" applyBorder="1" applyAlignment="1">
      <alignment vertical="center"/>
    </xf>
    <xf numFmtId="198" fontId="83" fillId="15" borderId="1" xfId="0" applyNumberFormat="1" applyFont="1" applyFill="1" applyBorder="1" applyAlignment="1">
      <alignment vertical="center"/>
    </xf>
    <xf numFmtId="0" fontId="57" fillId="14" borderId="1" xfId="0" applyFont="1" applyFill="1" applyBorder="1" applyAlignment="1">
      <alignment vertical="center"/>
    </xf>
    <xf numFmtId="198" fontId="57" fillId="15" borderId="1" xfId="0" applyNumberFormat="1" applyFont="1" applyFill="1" applyBorder="1" applyAlignment="1">
      <alignment vertical="center"/>
    </xf>
    <xf numFmtId="2" fontId="7" fillId="0" borderId="1" xfId="0" applyNumberFormat="1" applyFont="1" applyBorder="1" applyAlignment="1">
      <alignment vertical="center"/>
    </xf>
    <xf numFmtId="180" fontId="7" fillId="0" borderId="1" xfId="0" applyNumberFormat="1" applyFont="1" applyBorder="1" applyAlignment="1">
      <alignment vertical="center"/>
    </xf>
    <xf numFmtId="2" fontId="7" fillId="15" borderId="1" xfId="0" applyNumberFormat="1" applyFont="1" applyFill="1" applyBorder="1" applyAlignment="1">
      <alignment vertical="center"/>
    </xf>
    <xf numFmtId="180" fontId="56" fillId="0" borderId="1" xfId="0" applyNumberFormat="1" applyFont="1" applyBorder="1" applyAlignment="1">
      <alignment vertical="center"/>
    </xf>
    <xf numFmtId="185" fontId="6" fillId="5" borderId="1" xfId="0" applyNumberFormat="1" applyFont="1" applyFill="1" applyBorder="1" applyAlignment="1">
      <alignment vertical="center"/>
    </xf>
    <xf numFmtId="0" fontId="10" fillId="5" borderId="1" xfId="0" applyFont="1" applyFill="1" applyBorder="1" applyAlignment="1">
      <alignment horizontal="center" vertical="center"/>
    </xf>
    <xf numFmtId="0" fontId="3" fillId="0" borderId="1" xfId="0" applyFont="1" applyBorder="1" applyAlignment="1">
      <alignment vertical="center"/>
    </xf>
    <xf numFmtId="0" fontId="2" fillId="16" borderId="6" xfId="0" applyFont="1" applyFill="1" applyBorder="1" applyAlignment="1">
      <alignment horizontal="center" vertical="center"/>
    </xf>
    <xf numFmtId="0" fontId="12" fillId="16" borderId="5" xfId="0" applyFont="1" applyFill="1" applyBorder="1" applyAlignment="1">
      <alignment horizontal="center" vertical="center"/>
    </xf>
    <xf numFmtId="0" fontId="13" fillId="14" borderId="1" xfId="0" applyFont="1" applyFill="1" applyBorder="1" applyAlignment="1">
      <alignment vertical="center"/>
    </xf>
    <xf numFmtId="185" fontId="13" fillId="15" borderId="1" xfId="0" applyNumberFormat="1" applyFont="1" applyFill="1" applyBorder="1" applyAlignment="1">
      <alignment vertical="center"/>
    </xf>
    <xf numFmtId="180" fontId="13" fillId="0" borderId="1" xfId="0" applyNumberFormat="1" applyFont="1" applyBorder="1" applyAlignment="1">
      <alignment vertical="center"/>
    </xf>
    <xf numFmtId="199" fontId="13" fillId="17" borderId="1" xfId="0" applyNumberFormat="1" applyFont="1" applyFill="1" applyBorder="1" applyAlignment="1">
      <alignment horizontal="center" vertical="center"/>
    </xf>
    <xf numFmtId="0" fontId="11" fillId="0" borderId="1" xfId="0" applyFont="1" applyBorder="1" applyAlignment="1">
      <alignment horizontal="center" vertical="center"/>
    </xf>
    <xf numFmtId="1" fontId="11" fillId="0" borderId="1" xfId="0" applyNumberFormat="1" applyFont="1" applyBorder="1" applyAlignment="1">
      <alignment horizontal="center" vertical="center"/>
    </xf>
    <xf numFmtId="164" fontId="11" fillId="15" borderId="1" xfId="0" applyNumberFormat="1" applyFont="1" applyFill="1" applyBorder="1" applyAlignment="1">
      <alignment horizontal="center" vertical="center"/>
    </xf>
    <xf numFmtId="180" fontId="11" fillId="0" borderId="5" xfId="0" applyNumberFormat="1" applyFont="1" applyBorder="1" applyAlignment="1">
      <alignment horizontal="center" vertical="center"/>
    </xf>
    <xf numFmtId="185" fontId="13" fillId="17" borderId="1" xfId="0" applyNumberFormat="1" applyFont="1" applyFill="1" applyBorder="1" applyAlignment="1">
      <alignment vertical="center"/>
    </xf>
    <xf numFmtId="164" fontId="11" fillId="17" borderId="1" xfId="0" applyNumberFormat="1" applyFont="1" applyFill="1" applyBorder="1" applyAlignment="1">
      <alignment horizontal="center" vertical="center"/>
    </xf>
    <xf numFmtId="180" fontId="11" fillId="0" borderId="1" xfId="0" applyNumberFormat="1" applyFont="1" applyBorder="1" applyAlignment="1">
      <alignment horizontal="center" vertical="center"/>
    </xf>
    <xf numFmtId="185" fontId="13" fillId="0" borderId="1" xfId="0" applyNumberFormat="1" applyFont="1" applyBorder="1" applyAlignment="1">
      <alignment vertical="center"/>
    </xf>
    <xf numFmtId="180" fontId="6" fillId="5" borderId="1" xfId="0" applyNumberFormat="1" applyFont="1" applyFill="1" applyBorder="1" applyAlignment="1">
      <alignment vertical="center"/>
    </xf>
    <xf numFmtId="180" fontId="6" fillId="5" borderId="1" xfId="0" applyNumberFormat="1" applyFont="1" applyFill="1" applyBorder="1" applyAlignment="1">
      <alignment horizontal="center" vertical="center"/>
    </xf>
    <xf numFmtId="0" fontId="2" fillId="16" borderId="1" xfId="0" applyFont="1" applyFill="1" applyBorder="1" applyAlignment="1">
      <alignment horizontal="center" vertical="center"/>
    </xf>
    <xf numFmtId="0" fontId="7" fillId="14" borderId="1" xfId="0" applyFont="1" applyFill="1" applyBorder="1" applyAlignment="1">
      <alignment horizontal="left" vertical="center"/>
    </xf>
    <xf numFmtId="185" fontId="7" fillId="15" borderId="1" xfId="0" applyNumberFormat="1" applyFont="1" applyFill="1" applyBorder="1" applyAlignment="1">
      <alignment vertical="center"/>
    </xf>
    <xf numFmtId="185" fontId="4" fillId="5" borderId="5" xfId="0" applyNumberFormat="1" applyFont="1" applyFill="1" applyBorder="1" applyAlignment="1">
      <alignment vertical="center"/>
    </xf>
    <xf numFmtId="0" fontId="57" fillId="14" borderId="1" xfId="0" applyFont="1" applyFill="1" applyBorder="1" applyAlignment="1">
      <alignment horizontal="left" vertical="center"/>
    </xf>
    <xf numFmtId="185" fontId="57" fillId="17" borderId="1" xfId="0" applyNumberFormat="1" applyFont="1" applyFill="1" applyBorder="1" applyAlignment="1">
      <alignment vertical="center"/>
    </xf>
    <xf numFmtId="0" fontId="58" fillId="17" borderId="1" xfId="0" applyFont="1" applyFill="1" applyBorder="1" applyAlignment="1">
      <alignment horizontal="center" vertical="center"/>
    </xf>
    <xf numFmtId="0" fontId="56" fillId="0" borderId="0" xfId="0" applyFont="1" applyAlignment="1">
      <alignment horizontal="left" vertical="center"/>
    </xf>
    <xf numFmtId="185" fontId="64" fillId="5" borderId="1" xfId="0" applyNumberFormat="1" applyFont="1" applyFill="1" applyBorder="1" applyAlignment="1">
      <alignment vertical="center"/>
    </xf>
    <xf numFmtId="0" fontId="21" fillId="0" borderId="0" xfId="0" applyFont="1" applyAlignment="1">
      <alignment horizontal="left" vertical="center"/>
    </xf>
    <xf numFmtId="0" fontId="30" fillId="17" borderId="0" xfId="0" applyFont="1" applyFill="1" applyAlignment="1">
      <alignment horizontal="center" vertical="center"/>
    </xf>
    <xf numFmtId="0" fontId="22" fillId="16" borderId="1" xfId="0" applyFont="1" applyFill="1" applyBorder="1" applyAlignment="1">
      <alignment vertical="center"/>
    </xf>
    <xf numFmtId="185" fontId="22" fillId="5" borderId="1" xfId="0" applyNumberFormat="1" applyFont="1" applyFill="1" applyBorder="1" applyAlignment="1">
      <alignment vertical="center"/>
    </xf>
    <xf numFmtId="10" fontId="22" fillId="5" borderId="1" xfId="0" applyNumberFormat="1" applyFont="1" applyFill="1" applyBorder="1" applyAlignment="1">
      <alignment vertical="center"/>
    </xf>
    <xf numFmtId="185" fontId="3" fillId="0" borderId="1" xfId="0" applyNumberFormat="1" applyFont="1" applyBorder="1" applyAlignment="1">
      <alignment vertical="center"/>
    </xf>
    <xf numFmtId="10" fontId="3" fillId="0" borderId="1" xfId="2" applyNumberFormat="1" applyFont="1" applyBorder="1" applyAlignment="1">
      <alignment vertical="center"/>
    </xf>
    <xf numFmtId="0" fontId="22" fillId="9" borderId="1" xfId="0" applyFont="1" applyFill="1" applyBorder="1" applyAlignment="1">
      <alignment vertical="center"/>
    </xf>
    <xf numFmtId="1" fontId="3" fillId="0" borderId="0" xfId="0" applyNumberFormat="1" applyFont="1" applyAlignment="1">
      <alignment vertical="center"/>
    </xf>
    <xf numFmtId="0" fontId="23" fillId="5" borderId="1" xfId="0" applyFont="1" applyFill="1" applyBorder="1" applyAlignment="1">
      <alignment vertical="center"/>
    </xf>
    <xf numFmtId="185" fontId="23" fillId="5" borderId="1" xfId="0" applyNumberFormat="1" applyFont="1" applyFill="1" applyBorder="1" applyAlignment="1">
      <alignment vertical="center"/>
    </xf>
    <xf numFmtId="10" fontId="23" fillId="5" borderId="1" xfId="2" applyNumberFormat="1" applyFont="1" applyFill="1" applyBorder="1" applyAlignment="1">
      <alignment vertical="center"/>
    </xf>
    <xf numFmtId="0" fontId="22" fillId="0" borderId="0" xfId="0" applyFont="1" applyAlignment="1">
      <alignment vertical="center"/>
    </xf>
    <xf numFmtId="0" fontId="12" fillId="0" borderId="1" xfId="0" applyFont="1" applyBorder="1" applyAlignment="1">
      <alignment horizontal="center" vertical="center"/>
    </xf>
    <xf numFmtId="175" fontId="12" fillId="0" borderId="1" xfId="0" applyNumberFormat="1" applyFont="1" applyBorder="1" applyAlignment="1">
      <alignment horizontal="center" vertical="center"/>
    </xf>
    <xf numFmtId="0" fontId="22" fillId="16" borderId="1" xfId="0" applyFont="1" applyFill="1" applyBorder="1" applyAlignment="1">
      <alignment horizontal="left" vertical="center"/>
    </xf>
    <xf numFmtId="0" fontId="29" fillId="17" borderId="1" xfId="0" applyFont="1" applyFill="1" applyBorder="1" applyAlignment="1">
      <alignment horizontal="center" vertical="center"/>
    </xf>
    <xf numFmtId="0" fontId="26" fillId="14" borderId="1" xfId="0" applyFont="1" applyFill="1" applyBorder="1" applyAlignment="1">
      <alignment horizontal="left" vertical="center"/>
    </xf>
    <xf numFmtId="3" fontId="2" fillId="0" borderId="1" xfId="0" applyNumberFormat="1" applyFont="1" applyBorder="1" applyAlignment="1">
      <alignment vertical="center"/>
    </xf>
    <xf numFmtId="167" fontId="2" fillId="0" borderId="1" xfId="0" applyNumberFormat="1" applyFont="1" applyBorder="1" applyAlignment="1">
      <alignment vertical="center"/>
    </xf>
    <xf numFmtId="179" fontId="2" fillId="0" borderId="1" xfId="0" applyNumberFormat="1" applyFont="1" applyBorder="1" applyAlignment="1">
      <alignment vertical="center"/>
    </xf>
    <xf numFmtId="175" fontId="2" fillId="0" borderId="1" xfId="0" applyNumberFormat="1" applyFont="1" applyBorder="1" applyAlignment="1">
      <alignment vertical="center"/>
    </xf>
    <xf numFmtId="200" fontId="2" fillId="0" borderId="1" xfId="0" applyNumberFormat="1" applyFont="1" applyBorder="1" applyAlignment="1">
      <alignment vertical="center"/>
    </xf>
    <xf numFmtId="0" fontId="11" fillId="0" borderId="1" xfId="0" applyFont="1" applyBorder="1" applyAlignment="1">
      <alignment vertical="center"/>
    </xf>
    <xf numFmtId="0" fontId="0" fillId="0" borderId="1" xfId="0" applyBorder="1" applyAlignment="1">
      <alignment vertical="center"/>
    </xf>
    <xf numFmtId="4" fontId="2" fillId="0" borderId="1" xfId="0" applyNumberFormat="1" applyFont="1" applyBorder="1" applyAlignment="1">
      <alignment vertical="center"/>
    </xf>
    <xf numFmtId="4" fontId="84" fillId="0" borderId="1" xfId="0" applyNumberFormat="1" applyFont="1" applyBorder="1" applyAlignment="1">
      <alignment vertical="center"/>
    </xf>
    <xf numFmtId="165" fontId="12" fillId="0" borderId="1" xfId="0" applyNumberFormat="1" applyFont="1" applyBorder="1" applyAlignment="1">
      <alignment vertical="center"/>
    </xf>
    <xf numFmtId="0" fontId="22" fillId="0" borderId="0" xfId="0" applyFont="1" applyAlignment="1">
      <alignment horizontal="left" vertical="center"/>
    </xf>
    <xf numFmtId="175" fontId="12" fillId="0" borderId="1" xfId="0" applyNumberFormat="1" applyFont="1" applyBorder="1" applyAlignment="1">
      <alignment vertical="center"/>
    </xf>
    <xf numFmtId="165" fontId="2" fillId="0" borderId="1" xfId="0" applyNumberFormat="1" applyFont="1" applyBorder="1" applyAlignment="1">
      <alignment vertical="center"/>
    </xf>
    <xf numFmtId="0" fontId="25" fillId="16" borderId="1" xfId="0" applyFont="1" applyFill="1" applyBorder="1" applyAlignment="1">
      <alignment horizontal="center" vertical="center"/>
    </xf>
    <xf numFmtId="1"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2" fontId="3" fillId="15" borderId="2" xfId="0" applyNumberFormat="1" applyFont="1" applyFill="1" applyBorder="1" applyAlignment="1">
      <alignment horizontal="center" vertical="center"/>
    </xf>
    <xf numFmtId="2" fontId="22" fillId="5" borderId="1" xfId="0" applyNumberFormat="1" applyFont="1" applyFill="1" applyBorder="1" applyAlignment="1">
      <alignment horizontal="center" vertical="center"/>
    </xf>
    <xf numFmtId="1" fontId="0" fillId="0" borderId="0" xfId="0" applyNumberForma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2" fontId="34" fillId="5" borderId="1" xfId="0" applyNumberFormat="1" applyFont="1" applyFill="1" applyBorder="1" applyAlignment="1">
      <alignment vertical="center"/>
    </xf>
    <xf numFmtId="1" fontId="34" fillId="5" borderId="1" xfId="0" applyNumberFormat="1" applyFont="1" applyFill="1" applyBorder="1" applyAlignment="1">
      <alignment vertical="center"/>
    </xf>
    <xf numFmtId="0" fontId="52" fillId="9" borderId="1" xfId="0" applyFont="1" applyFill="1" applyBorder="1" applyAlignment="1">
      <alignment horizontal="center" vertical="center"/>
    </xf>
    <xf numFmtId="0" fontId="55" fillId="0" borderId="0" xfId="0" applyFont="1" applyAlignment="1">
      <alignment vertical="center"/>
    </xf>
    <xf numFmtId="164" fontId="68" fillId="5" borderId="7" xfId="0" applyNumberFormat="1" applyFont="1" applyFill="1" applyBorder="1" applyAlignment="1">
      <alignment vertical="center"/>
    </xf>
    <xf numFmtId="164" fontId="68" fillId="5" borderId="8" xfId="0" applyNumberFormat="1" applyFont="1" applyFill="1" applyBorder="1" applyAlignment="1">
      <alignment vertical="center"/>
    </xf>
    <xf numFmtId="0" fontId="25" fillId="9" borderId="1" xfId="0" applyFont="1" applyFill="1" applyBorder="1" applyAlignment="1">
      <alignment horizontal="center"/>
    </xf>
    <xf numFmtId="0" fontId="3" fillId="9" borderId="1" xfId="0" applyFont="1" applyFill="1" applyBorder="1"/>
    <xf numFmtId="0" fontId="25" fillId="9" borderId="1" xfId="0" applyFont="1" applyFill="1" applyBorder="1" applyAlignment="1">
      <alignment horizontal="left"/>
    </xf>
    <xf numFmtId="0" fontId="25" fillId="9" borderId="1" xfId="0" applyFont="1" applyFill="1" applyBorder="1"/>
    <xf numFmtId="0" fontId="16" fillId="5" borderId="9" xfId="0" applyFont="1" applyFill="1" applyBorder="1" applyAlignment="1">
      <alignment vertical="center"/>
    </xf>
    <xf numFmtId="0" fontId="33" fillId="5" borderId="10" xfId="0" applyFont="1" applyFill="1" applyBorder="1" applyAlignment="1">
      <alignment vertical="center"/>
    </xf>
    <xf numFmtId="0" fontId="55" fillId="5" borderId="10" xfId="0" applyFont="1" applyFill="1" applyBorder="1" applyAlignment="1">
      <alignment vertical="center"/>
    </xf>
    <xf numFmtId="164" fontId="68" fillId="5" borderId="10" xfId="0" applyNumberFormat="1" applyFont="1" applyFill="1" applyBorder="1" applyAlignment="1">
      <alignment vertical="center"/>
    </xf>
    <xf numFmtId="0" fontId="25" fillId="0" borderId="1" xfId="0" applyFont="1" applyBorder="1"/>
    <xf numFmtId="2" fontId="3" fillId="0" borderId="1" xfId="0" applyNumberFormat="1" applyFont="1" applyBorder="1"/>
    <xf numFmtId="164" fontId="3" fillId="0" borderId="1" xfId="0" applyNumberFormat="1" applyFont="1" applyBorder="1"/>
    <xf numFmtId="0" fontId="56" fillId="0" borderId="1" xfId="0" applyFont="1" applyBorder="1"/>
    <xf numFmtId="165" fontId="3" fillId="0" borderId="1" xfId="0" applyNumberFormat="1" applyFont="1" applyBorder="1"/>
    <xf numFmtId="164" fontId="56" fillId="0" borderId="1" xfId="0" applyNumberFormat="1" applyFont="1" applyBorder="1"/>
    <xf numFmtId="1" fontId="56" fillId="0" borderId="1" xfId="0" applyNumberFormat="1" applyFont="1" applyBorder="1"/>
    <xf numFmtId="0" fontId="63" fillId="0" borderId="1" xfId="0" applyFont="1" applyBorder="1"/>
    <xf numFmtId="2" fontId="56" fillId="0" borderId="1" xfId="0" applyNumberFormat="1" applyFont="1" applyBorder="1"/>
    <xf numFmtId="165" fontId="56" fillId="0" borderId="1" xfId="0" applyNumberFormat="1" applyFont="1" applyBorder="1"/>
    <xf numFmtId="0" fontId="25" fillId="5" borderId="1" xfId="0" applyFont="1" applyFill="1" applyBorder="1" applyAlignment="1">
      <alignment vertical="center"/>
    </xf>
    <xf numFmtId="1" fontId="25" fillId="0" borderId="1" xfId="0" applyNumberFormat="1" applyFont="1" applyBorder="1" applyAlignment="1">
      <alignment vertical="center"/>
    </xf>
    <xf numFmtId="0" fontId="64" fillId="9" borderId="6" xfId="0" applyFont="1" applyFill="1" applyBorder="1" applyAlignment="1">
      <alignment vertical="center"/>
    </xf>
    <xf numFmtId="0" fontId="64" fillId="9" borderId="5" xfId="0" applyFont="1" applyFill="1" applyBorder="1" applyAlignment="1">
      <alignment vertical="center"/>
    </xf>
    <xf numFmtId="0" fontId="25" fillId="5" borderId="1" xfId="0" applyFont="1" applyFill="1" applyBorder="1" applyAlignment="1">
      <alignment horizontal="center" vertical="center"/>
    </xf>
    <xf numFmtId="0" fontId="85" fillId="0" borderId="1" xfId="0" applyFont="1" applyBorder="1"/>
    <xf numFmtId="164" fontId="57" fillId="0" borderId="1" xfId="0" applyNumberFormat="1" applyFont="1" applyBorder="1"/>
    <xf numFmtId="0" fontId="64" fillId="0" borderId="1" xfId="0" applyFont="1" applyBorder="1" applyAlignment="1">
      <alignment horizontal="center"/>
    </xf>
    <xf numFmtId="2" fontId="64" fillId="0" borderId="1" xfId="0" applyNumberFormat="1" applyFont="1" applyBorder="1" applyAlignment="1">
      <alignment horizontal="center"/>
    </xf>
    <xf numFmtId="0" fontId="64" fillId="0" borderId="1" xfId="0" applyFont="1" applyBorder="1"/>
    <xf numFmtId="2" fontId="64" fillId="15" borderId="1" xfId="0" applyNumberFormat="1" applyFont="1" applyFill="1" applyBorder="1" applyAlignment="1">
      <alignment horizontal="center"/>
    </xf>
    <xf numFmtId="0" fontId="25" fillId="14" borderId="1" xfId="0" applyFont="1" applyFill="1" applyBorder="1" applyAlignment="1">
      <alignment horizontal="center" vertical="center"/>
    </xf>
    <xf numFmtId="0" fontId="3" fillId="15" borderId="1" xfId="0" applyFont="1" applyFill="1" applyBorder="1" applyAlignment="1">
      <alignment vertical="center"/>
    </xf>
    <xf numFmtId="0" fontId="64" fillId="5" borderId="1" xfId="0" applyFont="1" applyFill="1" applyBorder="1" applyAlignment="1">
      <alignment horizontal="center" vertical="center"/>
    </xf>
    <xf numFmtId="2" fontId="64" fillId="5" borderId="1" xfId="0" applyNumberFormat="1" applyFont="1" applyFill="1" applyBorder="1" applyAlignment="1">
      <alignment vertical="center"/>
    </xf>
    <xf numFmtId="0" fontId="53" fillId="9" borderId="1" xfId="0" applyFont="1" applyFill="1" applyBorder="1" applyAlignment="1">
      <alignment vertical="center"/>
    </xf>
    <xf numFmtId="0" fontId="53" fillId="9" borderId="1" xfId="0" applyFont="1" applyFill="1" applyBorder="1" applyAlignment="1">
      <alignment horizontal="center" vertical="center"/>
    </xf>
    <xf numFmtId="0" fontId="64" fillId="0" borderId="1" xfId="0" applyFont="1" applyBorder="1" applyAlignment="1">
      <alignment vertical="center"/>
    </xf>
    <xf numFmtId="1" fontId="64" fillId="0" borderId="1" xfId="0" applyNumberFormat="1" applyFont="1" applyBorder="1" applyAlignment="1">
      <alignment horizontal="center" vertical="center"/>
    </xf>
    <xf numFmtId="201" fontId="14" fillId="0" borderId="1" xfId="0" applyNumberFormat="1" applyFont="1" applyBorder="1" applyAlignment="1">
      <alignment vertical="center"/>
    </xf>
    <xf numFmtId="0" fontId="14" fillId="0" borderId="1" xfId="0" applyFont="1" applyBorder="1" applyAlignment="1">
      <alignment vertical="center"/>
    </xf>
    <xf numFmtId="201" fontId="43" fillId="14" borderId="1" xfId="0" applyNumberFormat="1" applyFont="1" applyFill="1" applyBorder="1" applyAlignment="1">
      <alignment vertical="center"/>
    </xf>
    <xf numFmtId="0" fontId="64" fillId="9" borderId="1" xfId="0" applyFont="1" applyFill="1" applyBorder="1" applyAlignment="1">
      <alignment vertical="center"/>
    </xf>
    <xf numFmtId="1" fontId="64" fillId="9" borderId="1" xfId="0" applyNumberFormat="1" applyFont="1" applyFill="1" applyBorder="1" applyAlignment="1">
      <alignment horizontal="center" vertical="center"/>
    </xf>
    <xf numFmtId="0" fontId="64" fillId="14" borderId="1" xfId="0" applyFont="1" applyFill="1" applyBorder="1" applyAlignment="1">
      <alignment vertical="center"/>
    </xf>
    <xf numFmtId="2" fontId="64" fillId="0" borderId="1" xfId="0" applyNumberFormat="1" applyFont="1" applyBorder="1" applyAlignment="1">
      <alignment vertical="center"/>
    </xf>
    <xf numFmtId="2" fontId="86" fillId="5" borderId="1" xfId="0" applyNumberFormat="1" applyFont="1" applyFill="1" applyBorder="1" applyAlignment="1">
      <alignment vertical="center"/>
    </xf>
    <xf numFmtId="0" fontId="7" fillId="0" borderId="1" xfId="0" applyFont="1" applyBorder="1"/>
    <xf numFmtId="0" fontId="7" fillId="15" borderId="1" xfId="0" applyFont="1" applyFill="1" applyBorder="1"/>
    <xf numFmtId="0" fontId="57" fillId="0" borderId="1" xfId="0" applyFont="1" applyBorder="1"/>
    <xf numFmtId="164" fontId="57" fillId="15" borderId="1" xfId="0" applyNumberFormat="1" applyFont="1" applyFill="1" applyBorder="1"/>
    <xf numFmtId="0" fontId="57" fillId="15" borderId="1" xfId="0" applyFont="1" applyFill="1" applyBorder="1"/>
    <xf numFmtId="0" fontId="0" fillId="12" borderId="0" xfId="0" applyFill="1" applyAlignment="1">
      <alignment horizontal="center" vertical="center"/>
    </xf>
    <xf numFmtId="0" fontId="0" fillId="3" borderId="0" xfId="0" applyFill="1" applyAlignment="1">
      <alignment horizontal="center" vertical="center"/>
    </xf>
    <xf numFmtId="0" fontId="38" fillId="18" borderId="1" xfId="0" applyFont="1" applyFill="1" applyBorder="1" applyAlignment="1">
      <alignment horizontal="center" vertical="center" wrapText="1"/>
    </xf>
    <xf numFmtId="173" fontId="70" fillId="3" borderId="3" xfId="0" applyNumberFormat="1" applyFont="1" applyFill="1" applyBorder="1" applyAlignment="1" applyProtection="1">
      <alignment horizontal="center" vertical="center"/>
      <protection locked="0"/>
    </xf>
    <xf numFmtId="182" fontId="16" fillId="6" borderId="1" xfId="0" applyNumberFormat="1" applyFont="1" applyFill="1" applyBorder="1" applyAlignment="1" applyProtection="1">
      <alignment horizontal="center" vertical="center"/>
      <protection locked="0"/>
    </xf>
    <xf numFmtId="182" fontId="16" fillId="2" borderId="1" xfId="0" applyNumberFormat="1" applyFont="1" applyFill="1" applyBorder="1" applyAlignment="1">
      <alignment horizontal="center" vertical="center"/>
    </xf>
    <xf numFmtId="0" fontId="39" fillId="0" borderId="0" xfId="0" applyFont="1" applyAlignment="1">
      <alignment horizontal="center" vertical="center" wrapText="1"/>
    </xf>
    <xf numFmtId="0" fontId="40" fillId="5" borderId="2" xfId="0" applyFont="1" applyFill="1" applyBorder="1" applyAlignment="1">
      <alignment horizontal="center" vertical="center" wrapText="1"/>
    </xf>
    <xf numFmtId="0" fontId="40" fillId="5" borderId="3" xfId="0" applyFont="1" applyFill="1" applyBorder="1" applyAlignment="1">
      <alignment horizontal="center" vertical="center" wrapText="1"/>
    </xf>
    <xf numFmtId="0" fontId="40" fillId="5" borderId="4" xfId="0" applyFont="1" applyFill="1" applyBorder="1" applyAlignment="1">
      <alignment horizontal="center" vertical="center" wrapText="1"/>
    </xf>
    <xf numFmtId="0" fontId="0" fillId="2" borderId="11" xfId="0" applyFill="1" applyBorder="1" applyAlignment="1">
      <alignment horizontal="center" vertical="center"/>
    </xf>
    <xf numFmtId="0" fontId="39" fillId="10" borderId="1" xfId="0" applyFont="1" applyFill="1" applyBorder="1" applyAlignment="1">
      <alignment horizontal="left" vertical="center"/>
    </xf>
    <xf numFmtId="0" fontId="39" fillId="7" borderId="1" xfId="0" applyFont="1" applyFill="1" applyBorder="1" applyAlignment="1">
      <alignment horizontal="left" vertical="center"/>
    </xf>
    <xf numFmtId="0" fontId="0" fillId="2" borderId="0" xfId="0" applyFill="1" applyAlignment="1">
      <alignment horizontal="center" vertical="center"/>
    </xf>
    <xf numFmtId="0" fontId="16" fillId="6" borderId="1" xfId="1" applyFont="1" applyFill="1" applyBorder="1" applyAlignment="1" applyProtection="1">
      <alignment horizontal="left" vertical="center"/>
      <protection locked="0"/>
    </xf>
    <xf numFmtId="0" fontId="41" fillId="19" borderId="1" xfId="0" applyFont="1" applyFill="1" applyBorder="1" applyAlignment="1">
      <alignment horizontal="center" vertical="center"/>
    </xf>
    <xf numFmtId="0" fontId="42" fillId="19" borderId="1" xfId="0" applyFont="1" applyFill="1" applyBorder="1" applyAlignment="1">
      <alignment horizontal="center" vertical="center"/>
    </xf>
    <xf numFmtId="0" fontId="16" fillId="2" borderId="1" xfId="0" applyFont="1" applyFill="1" applyBorder="1" applyAlignment="1">
      <alignment horizontal="left" vertical="center"/>
    </xf>
    <xf numFmtId="0" fontId="16" fillId="6" borderId="1" xfId="0" applyFont="1" applyFill="1" applyBorder="1" applyAlignment="1" applyProtection="1">
      <alignment horizontal="center" vertical="center"/>
      <protection locked="0"/>
    </xf>
    <xf numFmtId="173" fontId="16" fillId="20" borderId="1" xfId="0" applyNumberFormat="1" applyFont="1" applyFill="1" applyBorder="1" applyAlignment="1" applyProtection="1">
      <alignment horizontal="center" vertical="center"/>
      <protection locked="0"/>
    </xf>
    <xf numFmtId="0" fontId="16" fillId="8" borderId="1" xfId="0" applyFont="1" applyFill="1" applyBorder="1" applyAlignment="1">
      <alignment horizontal="center" vertical="center"/>
    </xf>
    <xf numFmtId="175" fontId="16" fillId="6" borderId="1" xfId="0" applyNumberFormat="1" applyFont="1" applyFill="1" applyBorder="1" applyAlignment="1" applyProtection="1">
      <alignment horizontal="center" vertical="center"/>
      <protection locked="0"/>
    </xf>
    <xf numFmtId="178" fontId="16" fillId="6" borderId="2" xfId="0" applyNumberFormat="1" applyFont="1" applyFill="1" applyBorder="1" applyAlignment="1" applyProtection="1">
      <alignment horizontal="center" vertical="center"/>
      <protection locked="0"/>
    </xf>
    <xf numFmtId="178" fontId="16" fillId="6" borderId="3" xfId="0" applyNumberFormat="1" applyFont="1" applyFill="1" applyBorder="1" applyAlignment="1" applyProtection="1">
      <alignment horizontal="center" vertical="center"/>
      <protection locked="0"/>
    </xf>
    <xf numFmtId="178" fontId="16" fillId="6" borderId="4" xfId="0" applyNumberFormat="1" applyFont="1" applyFill="1" applyBorder="1" applyAlignment="1" applyProtection="1">
      <alignment horizontal="center" vertical="center"/>
      <protection locked="0"/>
    </xf>
    <xf numFmtId="177" fontId="16" fillId="2" borderId="1" xfId="0" applyNumberFormat="1" applyFont="1" applyFill="1" applyBorder="1" applyAlignment="1">
      <alignment horizontal="center" vertical="center"/>
    </xf>
    <xf numFmtId="0" fontId="16" fillId="5" borderId="1" xfId="0" applyFont="1" applyFill="1" applyBorder="1" applyAlignment="1">
      <alignment horizontal="left" vertical="center"/>
    </xf>
    <xf numFmtId="0" fontId="16" fillId="11" borderId="1" xfId="0" applyFont="1" applyFill="1" applyBorder="1" applyAlignment="1" applyProtection="1">
      <alignment horizontal="center" vertical="center"/>
      <protection locked="0"/>
    </xf>
    <xf numFmtId="174" fontId="16" fillId="6" borderId="1" xfId="0" applyNumberFormat="1" applyFont="1" applyFill="1" applyBorder="1" applyAlignment="1" applyProtection="1">
      <alignment horizontal="center" vertical="center"/>
      <protection locked="0"/>
    </xf>
    <xf numFmtId="177" fontId="16" fillId="0" borderId="1" xfId="0" applyNumberFormat="1" applyFont="1" applyBorder="1" applyAlignment="1">
      <alignment horizontal="center" vertical="center"/>
    </xf>
    <xf numFmtId="172" fontId="16" fillId="2" borderId="12" xfId="0" applyNumberFormat="1" applyFont="1" applyFill="1" applyBorder="1" applyAlignment="1">
      <alignment horizontal="center" vertical="center"/>
    </xf>
    <xf numFmtId="172" fontId="16" fillId="2" borderId="0" xfId="0" applyNumberFormat="1" applyFont="1" applyFill="1" applyAlignment="1">
      <alignment horizontal="center" vertical="center"/>
    </xf>
    <xf numFmtId="172" fontId="16" fillId="2" borderId="13" xfId="0" applyNumberFormat="1" applyFont="1" applyFill="1" applyBorder="1" applyAlignment="1">
      <alignment horizontal="center" vertical="center"/>
    </xf>
    <xf numFmtId="183" fontId="16" fillId="6" borderId="1" xfId="0" applyNumberFormat="1" applyFont="1" applyFill="1" applyBorder="1" applyAlignment="1" applyProtection="1">
      <alignment horizontal="center" vertical="center"/>
      <protection locked="0"/>
    </xf>
    <xf numFmtId="172" fontId="16" fillId="2" borderId="1" xfId="0" applyNumberFormat="1" applyFont="1" applyFill="1" applyBorder="1" applyAlignment="1">
      <alignment horizontal="center" vertical="center"/>
    </xf>
    <xf numFmtId="0" fontId="33" fillId="2" borderId="0" xfId="0" applyFont="1" applyFill="1" applyAlignment="1">
      <alignment horizontal="left"/>
    </xf>
    <xf numFmtId="0" fontId="0" fillId="2" borderId="0" xfId="0" applyFill="1" applyAlignment="1">
      <alignment horizontal="left"/>
    </xf>
    <xf numFmtId="184" fontId="16" fillId="2" borderId="12" xfId="0" applyNumberFormat="1" applyFont="1" applyFill="1" applyBorder="1" applyAlignment="1">
      <alignment horizontal="center" vertical="center"/>
    </xf>
    <xf numFmtId="184" fontId="16" fillId="2" borderId="0" xfId="0" applyNumberFormat="1" applyFont="1" applyFill="1" applyAlignment="1">
      <alignment horizontal="center" vertical="center"/>
    </xf>
    <xf numFmtId="184" fontId="16" fillId="2" borderId="13" xfId="0" applyNumberFormat="1" applyFont="1" applyFill="1" applyBorder="1" applyAlignment="1">
      <alignment horizontal="center" vertical="center"/>
    </xf>
    <xf numFmtId="171" fontId="39" fillId="10" borderId="1" xfId="0" applyNumberFormat="1" applyFont="1" applyFill="1" applyBorder="1" applyAlignment="1">
      <alignment horizontal="center" vertical="center"/>
    </xf>
    <xf numFmtId="172" fontId="39" fillId="10" borderId="1" xfId="0" applyNumberFormat="1" applyFont="1" applyFill="1" applyBorder="1" applyAlignment="1">
      <alignment horizontal="center" vertical="center"/>
    </xf>
    <xf numFmtId="171" fontId="16" fillId="6" borderId="1" xfId="0" applyNumberFormat="1" applyFont="1" applyFill="1" applyBorder="1" applyAlignment="1" applyProtection="1">
      <alignment horizontal="center" vertical="center"/>
      <protection locked="0"/>
    </xf>
    <xf numFmtId="171" fontId="16" fillId="6" borderId="2" xfId="0" applyNumberFormat="1" applyFont="1" applyFill="1" applyBorder="1" applyAlignment="1" applyProtection="1">
      <alignment horizontal="center" vertical="center"/>
      <protection locked="0"/>
    </xf>
    <xf numFmtId="171" fontId="16" fillId="6" borderId="4" xfId="0" applyNumberFormat="1" applyFont="1" applyFill="1" applyBorder="1" applyAlignment="1" applyProtection="1">
      <alignment horizontal="center" vertical="center"/>
      <protection locked="0"/>
    </xf>
    <xf numFmtId="180" fontId="16" fillId="3" borderId="0" xfId="0" applyNumberFormat="1" applyFont="1" applyFill="1" applyAlignment="1">
      <alignment horizontal="center" vertical="center"/>
    </xf>
    <xf numFmtId="171" fontId="16" fillId="2" borderId="1" xfId="0" applyNumberFormat="1" applyFont="1" applyFill="1" applyBorder="1" applyAlignment="1">
      <alignment horizontal="center" vertical="center"/>
    </xf>
    <xf numFmtId="188" fontId="25" fillId="2" borderId="0" xfId="0" applyNumberFormat="1" applyFont="1" applyFill="1" applyAlignment="1">
      <alignment horizontal="center" vertical="center" wrapText="1"/>
    </xf>
    <xf numFmtId="0" fontId="87" fillId="21" borderId="0" xfId="0" applyFont="1" applyFill="1" applyAlignment="1" applyProtection="1">
      <alignment horizontal="center" vertical="center"/>
      <protection locked="0"/>
    </xf>
    <xf numFmtId="0" fontId="16" fillId="3" borderId="1" xfId="0" applyFont="1" applyFill="1" applyBorder="1" applyAlignment="1">
      <alignment horizontal="left" vertical="center"/>
    </xf>
    <xf numFmtId="0" fontId="39" fillId="10" borderId="1" xfId="0" applyFont="1" applyFill="1" applyBorder="1" applyAlignment="1">
      <alignment horizontal="center" vertical="center"/>
    </xf>
    <xf numFmtId="171" fontId="16" fillId="13" borderId="1" xfId="0" applyNumberFormat="1" applyFont="1" applyFill="1" applyBorder="1" applyAlignment="1">
      <alignment horizontal="center" vertical="center"/>
    </xf>
    <xf numFmtId="172" fontId="16" fillId="13" borderId="1" xfId="0" applyNumberFormat="1" applyFont="1" applyFill="1" applyBorder="1" applyAlignment="1">
      <alignment horizontal="center" vertical="center"/>
    </xf>
    <xf numFmtId="0" fontId="3" fillId="2" borderId="0" xfId="0" applyFont="1" applyFill="1" applyAlignment="1">
      <alignment horizontal="center" vertical="center"/>
    </xf>
    <xf numFmtId="0" fontId="2" fillId="2" borderId="14" xfId="0" applyFont="1" applyFill="1" applyBorder="1" applyAlignment="1">
      <alignment horizontal="center" vertical="center"/>
    </xf>
    <xf numFmtId="0" fontId="2" fillId="2" borderId="0" xfId="0" applyFont="1" applyFill="1" applyAlignment="1">
      <alignment horizontal="center" vertical="center"/>
    </xf>
    <xf numFmtId="0" fontId="2" fillId="2" borderId="12" xfId="0" applyFont="1" applyFill="1" applyBorder="1" applyAlignment="1">
      <alignment horizontal="center" vertical="center"/>
    </xf>
    <xf numFmtId="3" fontId="6" fillId="5" borderId="1" xfId="0" applyNumberFormat="1" applyFont="1" applyFill="1" applyBorder="1" applyAlignment="1">
      <alignment horizontal="center" vertical="center" wrapText="1"/>
    </xf>
    <xf numFmtId="0" fontId="2" fillId="16" borderId="1" xfId="0" applyFont="1" applyFill="1" applyBorder="1" applyAlignment="1">
      <alignment horizontal="left" vertical="center"/>
    </xf>
    <xf numFmtId="0" fontId="2" fillId="16" borderId="2" xfId="0" applyFont="1" applyFill="1" applyBorder="1" applyAlignment="1">
      <alignment horizontal="center" vertical="center"/>
    </xf>
    <xf numFmtId="0" fontId="12" fillId="16" borderId="1" xfId="0" applyFont="1" applyFill="1" applyBorder="1" applyAlignment="1">
      <alignment horizontal="center" vertical="center"/>
    </xf>
    <xf numFmtId="0" fontId="2" fillId="16" borderId="1" xfId="0" applyFont="1" applyFill="1" applyBorder="1" applyAlignment="1">
      <alignment horizontal="center" vertical="center"/>
    </xf>
    <xf numFmtId="0" fontId="22" fillId="5" borderId="2" xfId="0" applyFont="1" applyFill="1" applyBorder="1" applyAlignment="1">
      <alignment horizontal="center" vertical="center"/>
    </xf>
    <xf numFmtId="0" fontId="22" fillId="5" borderId="4" xfId="0" applyFont="1" applyFill="1" applyBorder="1" applyAlignment="1">
      <alignment horizontal="center" vertical="center"/>
    </xf>
    <xf numFmtId="0" fontId="64" fillId="9" borderId="2" xfId="0" applyFont="1" applyFill="1" applyBorder="1" applyAlignment="1">
      <alignment horizontal="center" vertical="center"/>
    </xf>
    <xf numFmtId="0" fontId="64" fillId="9" borderId="4" xfId="0" applyFont="1" applyFill="1" applyBorder="1" applyAlignment="1">
      <alignment horizontal="center" vertical="center"/>
    </xf>
    <xf numFmtId="0" fontId="64" fillId="5" borderId="2" xfId="0" applyFont="1" applyFill="1" applyBorder="1" applyAlignment="1">
      <alignment horizontal="center" vertical="center"/>
    </xf>
    <xf numFmtId="0" fontId="64" fillId="5" borderId="4" xfId="0" applyFont="1" applyFill="1" applyBorder="1" applyAlignment="1">
      <alignment horizontal="center" vertical="center"/>
    </xf>
  </cellXfs>
  <cellStyles count="3">
    <cellStyle name="Hipervínculo" xfId="1" builtinId="8"/>
    <cellStyle name="Normal" xfId="0" builtinId="0"/>
    <cellStyle name="Porcentaje" xfId="2" builtinId="5"/>
  </cellStyles>
  <dxfs count="2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val="0"/>
        <i val="0"/>
        <strike val="0"/>
        <color rgb="FFFF0000"/>
        <name val="Calibri Light"/>
        <scheme val="none"/>
      </font>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i/>
        <color rgb="FFC00000"/>
      </font>
      <fill>
        <patternFill>
          <bgColor rgb="FFFFCCCC"/>
        </patternFill>
      </fill>
    </dxf>
    <dxf>
      <font>
        <b/>
        <i/>
        <strike val="0"/>
        <color rgb="FFC00000"/>
      </font>
      <fill>
        <patternFill patternType="solid">
          <bgColor rgb="FFFFCCCC"/>
        </patternFill>
      </fill>
    </dxf>
    <dxf>
      <font>
        <b/>
        <i val="0"/>
        <color rgb="FFFF0000"/>
      </font>
      <fill>
        <patternFill patternType="solid">
          <bgColor rgb="FFFFFF99"/>
        </patternFill>
      </fill>
    </dxf>
    <dxf>
      <font>
        <b/>
        <i val="0"/>
        <color rgb="FFFF0000"/>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s://www.mapa.gob.es/es/agricultura/temas/producciones-agricolas/frutas-y-hortalizas/boletin_semanal_precios.aspx" TargetMode="External"/><Relationship Id="rId3" Type="http://schemas.openxmlformats.org/officeDocument/2006/relationships/hyperlink" Target="https://www.imida.es/libros" TargetMode="External"/><Relationship Id="rId7" Type="http://schemas.openxmlformats.org/officeDocument/2006/relationships/image" Target="../media/image4.jpeg"/><Relationship Id="rId2" Type="http://schemas.openxmlformats.org/officeDocument/2006/relationships/image" Target="../media/image1.png"/><Relationship Id="rId1" Type="http://schemas.openxmlformats.org/officeDocument/2006/relationships/hyperlink" Target="https://www.ailimpo.com/contratos-homologados/" TargetMode="External"/><Relationship Id="rId6" Type="http://schemas.openxmlformats.org/officeDocument/2006/relationships/image" Target="../media/image3.png"/><Relationship Id="rId11" Type="http://schemas.openxmlformats.org/officeDocument/2006/relationships/image" Target="../media/image6.png"/><Relationship Id="rId5" Type="http://schemas.openxmlformats.org/officeDocument/2006/relationships/hyperlink" Target="http://www.carm.es/web/pagina?IDCONTENIDO=1396&amp;IDTIPO=100&amp;RASTRO=c80$m22721,22746,1174" TargetMode="External"/><Relationship Id="rId10" Type="http://schemas.openxmlformats.org/officeDocument/2006/relationships/hyperlink" Target="https://portalagrari.gva.es/es/pye/precios-agrarios" TargetMode="External"/><Relationship Id="rId4" Type="http://schemas.openxmlformats.org/officeDocument/2006/relationships/image" Target="../media/image2.png"/><Relationship Id="rId9"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13</xdr:col>
      <xdr:colOff>70877</xdr:colOff>
      <xdr:row>1</xdr:row>
      <xdr:rowOff>12070</xdr:rowOff>
    </xdr:from>
    <xdr:to>
      <xdr:col>13</xdr:col>
      <xdr:colOff>1713666</xdr:colOff>
      <xdr:row>3</xdr:row>
      <xdr:rowOff>129944</xdr:rowOff>
    </xdr:to>
    <xdr:pic>
      <xdr:nvPicPr>
        <xdr:cNvPr id="3" name="Imagen 2">
          <a:hlinkClick xmlns:r="http://schemas.openxmlformats.org/officeDocument/2006/relationships" r:id="rId1"/>
          <a:extLst>
            <a:ext uri="{FF2B5EF4-FFF2-40B4-BE49-F238E27FC236}">
              <a16:creationId xmlns:a16="http://schemas.microsoft.com/office/drawing/2014/main" id="{B33E9802-BB27-05EB-2BBA-842FF037AE8D}"/>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430527" y="88270"/>
          <a:ext cx="1448088" cy="596100"/>
        </a:xfrm>
        <a:prstGeom prst="rect">
          <a:avLst/>
        </a:prstGeom>
        <a:noFill/>
        <a:ln w="28575">
          <a:solidFill>
            <a:srgbClr val="0000FF"/>
          </a:solidFill>
          <a:miter lim="800000"/>
          <a:headEnd/>
          <a:tailEnd/>
        </a:ln>
        <a:effectLst>
          <a:softEdge rad="12700"/>
        </a:effectLst>
      </xdr:spPr>
    </xdr:pic>
    <xdr:clientData/>
  </xdr:twoCellAnchor>
  <xdr:twoCellAnchor editAs="oneCell">
    <xdr:from>
      <xdr:col>13</xdr:col>
      <xdr:colOff>38100</xdr:colOff>
      <xdr:row>3</xdr:row>
      <xdr:rowOff>114300</xdr:rowOff>
    </xdr:from>
    <xdr:to>
      <xdr:col>13</xdr:col>
      <xdr:colOff>1739900</xdr:colOff>
      <xdr:row>8</xdr:row>
      <xdr:rowOff>0</xdr:rowOff>
    </xdr:to>
    <xdr:pic>
      <xdr:nvPicPr>
        <xdr:cNvPr id="1584" name="Imagen 2">
          <a:hlinkClick xmlns:r="http://schemas.openxmlformats.org/officeDocument/2006/relationships" r:id="rId3"/>
          <a:extLst>
            <a:ext uri="{FF2B5EF4-FFF2-40B4-BE49-F238E27FC236}">
              <a16:creationId xmlns:a16="http://schemas.microsoft.com/office/drawing/2014/main" id="{B7E3FB42-AD4E-F59A-F7EC-89B600466DA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458200" y="647700"/>
          <a:ext cx="17018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952500</xdr:colOff>
      <xdr:row>2</xdr:row>
      <xdr:rowOff>50800</xdr:rowOff>
    </xdr:from>
    <xdr:to>
      <xdr:col>4</xdr:col>
      <xdr:colOff>215900</xdr:colOff>
      <xdr:row>4</xdr:row>
      <xdr:rowOff>12700</xdr:rowOff>
    </xdr:to>
    <xdr:pic>
      <xdr:nvPicPr>
        <xdr:cNvPr id="1585" name="Imagen 7">
          <a:hlinkClick xmlns:r="http://schemas.openxmlformats.org/officeDocument/2006/relationships" r:id="rId5"/>
          <a:extLst>
            <a:ext uri="{FF2B5EF4-FFF2-40B4-BE49-F238E27FC236}">
              <a16:creationId xmlns:a16="http://schemas.microsoft.com/office/drawing/2014/main" id="{89F332E3-0463-14BA-A461-8AB258F843B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43000" y="520700"/>
          <a:ext cx="2235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711200</xdr:colOff>
      <xdr:row>81</xdr:row>
      <xdr:rowOff>50800</xdr:rowOff>
    </xdr:from>
    <xdr:to>
      <xdr:col>21</xdr:col>
      <xdr:colOff>63500</xdr:colOff>
      <xdr:row>84</xdr:row>
      <xdr:rowOff>101600</xdr:rowOff>
    </xdr:to>
    <xdr:pic>
      <xdr:nvPicPr>
        <xdr:cNvPr id="1586" name="Imagen 2">
          <a:extLst>
            <a:ext uri="{FF2B5EF4-FFF2-40B4-BE49-F238E27FC236}">
              <a16:creationId xmlns:a16="http://schemas.microsoft.com/office/drawing/2014/main" id="{9DD2977B-40D1-833E-C79A-BAB53E0A95E3}"/>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2420600" y="11366500"/>
          <a:ext cx="34925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2971800</xdr:colOff>
      <xdr:row>0</xdr:row>
      <xdr:rowOff>0</xdr:rowOff>
    </xdr:from>
    <xdr:to>
      <xdr:col>21</xdr:col>
      <xdr:colOff>2070100</xdr:colOff>
      <xdr:row>2</xdr:row>
      <xdr:rowOff>25400</xdr:rowOff>
    </xdr:to>
    <xdr:pic>
      <xdr:nvPicPr>
        <xdr:cNvPr id="1587" name="Imagen 17">
          <a:extLst>
            <a:ext uri="{FF2B5EF4-FFF2-40B4-BE49-F238E27FC236}">
              <a16:creationId xmlns:a16="http://schemas.microsoft.com/office/drawing/2014/main" id="{86194064-3AAD-E671-A499-03EE10AD3D98}"/>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5430500" y="0"/>
          <a:ext cx="24892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50800</xdr:colOff>
      <xdr:row>2</xdr:row>
      <xdr:rowOff>50800</xdr:rowOff>
    </xdr:from>
    <xdr:to>
      <xdr:col>12</xdr:col>
      <xdr:colOff>38100</xdr:colOff>
      <xdr:row>4</xdr:row>
      <xdr:rowOff>12700</xdr:rowOff>
    </xdr:to>
    <xdr:pic>
      <xdr:nvPicPr>
        <xdr:cNvPr id="1588" name="Imagen 2">
          <a:hlinkClick xmlns:r="http://schemas.openxmlformats.org/officeDocument/2006/relationships" r:id="rId8"/>
          <a:extLst>
            <a:ext uri="{FF2B5EF4-FFF2-40B4-BE49-F238E27FC236}">
              <a16:creationId xmlns:a16="http://schemas.microsoft.com/office/drawing/2014/main" id="{9CFF1154-10FE-ABFD-F589-CD94BDE10479}"/>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918200" y="520700"/>
          <a:ext cx="24638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12700</xdr:colOff>
          <xdr:row>13</xdr:row>
          <xdr:rowOff>12700</xdr:rowOff>
        </xdr:from>
        <xdr:to>
          <xdr:col>11</xdr:col>
          <xdr:colOff>254000</xdr:colOff>
          <xdr:row>14</xdr:row>
          <xdr:rowOff>12700</xdr:rowOff>
        </xdr:to>
        <xdr:sp macro="" textlink="">
          <xdr:nvSpPr>
            <xdr:cNvPr id="1033" name="Label1"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2</xdr:col>
      <xdr:colOff>0</xdr:colOff>
      <xdr:row>87</xdr:row>
      <xdr:rowOff>0</xdr:rowOff>
    </xdr:from>
    <xdr:to>
      <xdr:col>18</xdr:col>
      <xdr:colOff>647700</xdr:colOff>
      <xdr:row>108</xdr:row>
      <xdr:rowOff>101600</xdr:rowOff>
    </xdr:to>
    <xdr:pic>
      <xdr:nvPicPr>
        <xdr:cNvPr id="1590" name="Imagen 2">
          <a:extLst>
            <a:ext uri="{FF2B5EF4-FFF2-40B4-BE49-F238E27FC236}">
              <a16:creationId xmlns:a16="http://schemas.microsoft.com/office/drawing/2014/main" id="{812B7438-E52D-56A0-1C71-07544C463287}"/>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90500" y="12484100"/>
          <a:ext cx="12166600" cy="248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228600</xdr:colOff>
      <xdr:row>2</xdr:row>
      <xdr:rowOff>50800</xdr:rowOff>
    </xdr:from>
    <xdr:to>
      <xdr:col>8</xdr:col>
      <xdr:colOff>12700</xdr:colOff>
      <xdr:row>4</xdr:row>
      <xdr:rowOff>25400</xdr:rowOff>
    </xdr:to>
    <xdr:pic>
      <xdr:nvPicPr>
        <xdr:cNvPr id="4" name="Imagen 6">
          <a:hlinkClick xmlns:r="http://schemas.openxmlformats.org/officeDocument/2006/relationships" r:id="rId10"/>
          <a:extLst>
            <a:ext uri="{FF2B5EF4-FFF2-40B4-BE49-F238E27FC236}">
              <a16:creationId xmlns:a16="http://schemas.microsoft.com/office/drawing/2014/main" id="{0A66F24F-4B06-A346-9174-E4FA38CE31DB}"/>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390900" y="520700"/>
          <a:ext cx="2489200" cy="279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AA69E-BE5E-9F4D-B43C-9F2AC4AB7C06}">
  <sheetPr codeName="Hoja1">
    <pageSetUpPr fitToPage="1"/>
  </sheetPr>
  <dimension ref="A1:AD110"/>
  <sheetViews>
    <sheetView tabSelected="1" zoomScaleNormal="100" zoomScaleSheetLayoutView="100" workbookViewId="0">
      <selection activeCell="E12" sqref="E12:H12"/>
    </sheetView>
  </sheetViews>
  <sheetFormatPr baseColWidth="10" defaultRowHeight="13" x14ac:dyDescent="0.15"/>
  <cols>
    <col min="1" max="1" width="1.33203125" style="167" customWidth="1"/>
    <col min="2" max="2" width="1.1640625" style="167" customWidth="1"/>
    <col min="3" max="3" width="38.1640625" style="167" customWidth="1"/>
    <col min="4" max="4" width="0.83203125" style="167" customWidth="1"/>
    <col min="5" max="5" width="4.33203125" style="167" customWidth="1"/>
    <col min="6" max="6" width="1.5" style="167" customWidth="1"/>
    <col min="7" max="7" width="5.5" style="167" customWidth="1"/>
    <col min="8" max="8" width="24.1640625" style="167" customWidth="1"/>
    <col min="9" max="9" width="0.83203125" style="167" customWidth="1"/>
    <col min="10" max="10" width="14.6640625" style="167" customWidth="1"/>
    <col min="11" max="11" width="1" style="167" customWidth="1"/>
    <col min="12" max="12" width="16" style="167" customWidth="1"/>
    <col min="13" max="13" width="1" style="167" customWidth="1"/>
    <col min="14" max="14" width="23.33203125" style="167" customWidth="1"/>
    <col min="15" max="15" width="1.1640625" style="167" customWidth="1"/>
    <col min="16" max="16" width="1" style="167" customWidth="1"/>
    <col min="17" max="17" width="11.1640625" customWidth="1"/>
    <col min="18" max="18" width="6.5" customWidth="1"/>
    <col min="19" max="19" width="9.83203125" customWidth="1"/>
    <col min="20" max="20" width="43.5" customWidth="1"/>
    <col min="21" max="21" width="1" customWidth="1"/>
    <col min="22" max="22" width="27.5" customWidth="1"/>
    <col min="23" max="23" width="1" customWidth="1"/>
    <col min="24" max="24" width="8" style="167" customWidth="1"/>
    <col min="29" max="29" width="16.5" customWidth="1"/>
    <col min="30" max="30" width="13.6640625" bestFit="1" customWidth="1"/>
  </cols>
  <sheetData>
    <row r="1" spans="1:30" ht="6" customHeight="1" x14ac:dyDescent="0.15">
      <c r="A1" s="351"/>
      <c r="B1" s="351"/>
      <c r="C1" s="351"/>
      <c r="D1" s="351"/>
      <c r="E1" s="351"/>
      <c r="F1" s="351"/>
      <c r="G1" s="351"/>
      <c r="H1" s="351"/>
      <c r="I1" s="351"/>
      <c r="J1" s="351"/>
      <c r="K1" s="351"/>
      <c r="L1" s="351"/>
      <c r="M1" s="351"/>
      <c r="N1" s="351"/>
      <c r="O1" s="351"/>
      <c r="P1" s="351"/>
      <c r="Q1" s="61"/>
      <c r="R1" s="61"/>
      <c r="S1" s="61"/>
      <c r="T1" s="61"/>
      <c r="U1" s="61"/>
      <c r="V1" s="61"/>
      <c r="W1" s="61"/>
      <c r="X1" s="62"/>
      <c r="Y1" s="63"/>
      <c r="Z1" s="63"/>
      <c r="AA1" s="63"/>
      <c r="AB1" s="63"/>
      <c r="AC1" s="64" t="s">
        <v>213</v>
      </c>
      <c r="AD1" s="64"/>
    </row>
    <row r="2" spans="1:30" ht="31.5" customHeight="1" x14ac:dyDescent="0.15">
      <c r="A2" s="351"/>
      <c r="B2" s="352"/>
      <c r="C2" s="353" t="s">
        <v>283</v>
      </c>
      <c r="D2" s="353"/>
      <c r="E2" s="353"/>
      <c r="F2" s="353"/>
      <c r="G2" s="353"/>
      <c r="H2" s="353"/>
      <c r="I2" s="353"/>
      <c r="J2" s="353"/>
      <c r="K2" s="353"/>
      <c r="L2" s="353"/>
      <c r="M2" s="65"/>
      <c r="N2" s="66"/>
      <c r="O2" s="352"/>
      <c r="P2" s="351"/>
      <c r="Q2" s="67"/>
      <c r="R2" s="67"/>
      <c r="S2" s="357" t="str">
        <f>CONCATENATE(E8,"                                                                          ",J10)</f>
        <v xml:space="preserve">                                                                          </v>
      </c>
      <c r="T2" s="357"/>
      <c r="U2" s="68"/>
      <c r="V2" s="68"/>
      <c r="W2" s="68"/>
      <c r="X2" s="68"/>
      <c r="Y2" s="63"/>
      <c r="Z2" s="63"/>
      <c r="AA2" s="63"/>
      <c r="AB2" s="63"/>
      <c r="AC2" s="64" t="s">
        <v>214</v>
      </c>
      <c r="AD2" s="64"/>
    </row>
    <row r="3" spans="1:30" ht="5.25" customHeight="1" x14ac:dyDescent="0.15">
      <c r="A3" s="351"/>
      <c r="B3" s="352"/>
      <c r="C3" s="65"/>
      <c r="D3" s="65"/>
      <c r="E3" s="65"/>
      <c r="F3" s="65"/>
      <c r="G3" s="65"/>
      <c r="H3" s="65"/>
      <c r="I3" s="65"/>
      <c r="J3" s="65"/>
      <c r="K3" s="65"/>
      <c r="L3" s="65"/>
      <c r="M3" s="65"/>
      <c r="N3" s="66"/>
      <c r="O3" s="352"/>
      <c r="P3" s="351"/>
      <c r="Q3" s="67"/>
      <c r="R3" s="67"/>
      <c r="S3" s="67"/>
      <c r="T3" s="67"/>
      <c r="U3" s="67"/>
      <c r="V3" s="67"/>
      <c r="W3" s="69"/>
      <c r="X3" s="62"/>
      <c r="Y3" s="63"/>
      <c r="Z3" s="63"/>
      <c r="AA3" s="63"/>
      <c r="AB3" s="63"/>
      <c r="AC3" s="64"/>
      <c r="AD3" s="64"/>
    </row>
    <row r="4" spans="1:30" ht="19.5" customHeight="1" x14ac:dyDescent="0.15">
      <c r="A4" s="351"/>
      <c r="B4" s="352"/>
      <c r="C4" s="70"/>
      <c r="D4" s="70"/>
      <c r="E4" s="70"/>
      <c r="F4" s="70"/>
      <c r="G4" s="70"/>
      <c r="H4" s="70"/>
      <c r="I4" s="70"/>
      <c r="J4" s="70"/>
      <c r="K4" s="70"/>
      <c r="L4" s="70"/>
      <c r="M4" s="70"/>
      <c r="N4" s="71"/>
      <c r="O4" s="352"/>
      <c r="P4" s="351"/>
      <c r="Q4" s="72"/>
      <c r="R4" s="67"/>
      <c r="S4" s="358" t="s">
        <v>279</v>
      </c>
      <c r="T4" s="359"/>
      <c r="U4" s="359"/>
      <c r="V4" s="360"/>
      <c r="W4" s="69"/>
      <c r="X4" s="62"/>
      <c r="Y4" s="63"/>
      <c r="Z4" s="63"/>
      <c r="AA4" s="63"/>
      <c r="AB4" s="63"/>
      <c r="AC4" s="73" t="e">
        <f>(E12*10000)/AC6</f>
        <v>#DIV/0!</v>
      </c>
      <c r="AD4" s="74" t="e">
        <f>ROUNDUP(AC4,0)</f>
        <v>#DIV/0!</v>
      </c>
    </row>
    <row r="5" spans="1:30" ht="3.75" customHeight="1" x14ac:dyDescent="0.15">
      <c r="A5" s="351"/>
      <c r="B5" s="352"/>
      <c r="C5" s="352"/>
      <c r="D5" s="352"/>
      <c r="E5" s="352"/>
      <c r="F5" s="352"/>
      <c r="G5" s="352"/>
      <c r="H5" s="352"/>
      <c r="I5" s="352"/>
      <c r="J5" s="352"/>
      <c r="K5" s="70"/>
      <c r="L5" s="70"/>
      <c r="M5" s="70"/>
      <c r="N5" s="71"/>
      <c r="O5" s="352"/>
      <c r="P5" s="351"/>
      <c r="Q5" s="75"/>
      <c r="R5" s="67"/>
      <c r="S5" s="361"/>
      <c r="T5" s="361"/>
      <c r="U5" s="361"/>
      <c r="V5" s="361"/>
      <c r="W5" s="69"/>
      <c r="X5" s="62"/>
      <c r="Y5" s="63"/>
      <c r="Z5" s="63"/>
      <c r="AA5" s="63"/>
      <c r="AB5" s="63"/>
      <c r="AC5" s="76"/>
      <c r="AD5" s="76"/>
    </row>
    <row r="6" spans="1:30" ht="20.25" customHeight="1" x14ac:dyDescent="0.15">
      <c r="A6" s="351"/>
      <c r="B6" s="352"/>
      <c r="C6" s="362" t="s">
        <v>215</v>
      </c>
      <c r="D6" s="362"/>
      <c r="E6" s="362"/>
      <c r="F6" s="362"/>
      <c r="G6" s="362"/>
      <c r="H6" s="362"/>
      <c r="I6" s="362"/>
      <c r="J6" s="362"/>
      <c r="K6" s="362"/>
      <c r="L6" s="362"/>
      <c r="M6" s="77"/>
      <c r="N6" s="78"/>
      <c r="O6" s="352"/>
      <c r="P6" s="351"/>
      <c r="Q6" s="79"/>
      <c r="R6" s="67"/>
      <c r="S6" s="363" t="s">
        <v>216</v>
      </c>
      <c r="T6" s="363"/>
      <c r="U6" s="363"/>
      <c r="V6" s="363"/>
      <c r="W6" s="69"/>
      <c r="X6" s="62"/>
      <c r="Y6" s="63"/>
      <c r="Z6" s="63"/>
      <c r="AA6" s="63"/>
      <c r="AB6" s="63"/>
      <c r="AC6" s="80">
        <f>E10*G10</f>
        <v>0</v>
      </c>
      <c r="AD6" s="76"/>
    </row>
    <row r="7" spans="1:30" ht="3" customHeight="1" x14ac:dyDescent="0.15">
      <c r="A7" s="351"/>
      <c r="B7" s="352"/>
      <c r="C7" s="352"/>
      <c r="D7" s="352"/>
      <c r="E7" s="352"/>
      <c r="F7" s="352"/>
      <c r="G7" s="352"/>
      <c r="H7" s="352"/>
      <c r="I7" s="352"/>
      <c r="J7" s="352"/>
      <c r="K7" s="81"/>
      <c r="L7" s="82"/>
      <c r="M7" s="70"/>
      <c r="N7" s="83"/>
      <c r="O7" s="352"/>
      <c r="P7" s="351"/>
      <c r="Q7" s="67"/>
      <c r="R7" s="67"/>
      <c r="S7" s="364"/>
      <c r="T7" s="364"/>
      <c r="U7" s="364"/>
      <c r="V7" s="364"/>
      <c r="W7" s="69"/>
      <c r="X7" s="62"/>
      <c r="Y7" s="63"/>
      <c r="Z7" s="63"/>
      <c r="AA7" s="63"/>
      <c r="AB7" s="63"/>
      <c r="AC7" s="63"/>
      <c r="AD7" s="63"/>
    </row>
    <row r="8" spans="1:30" ht="19.5" customHeight="1" x14ac:dyDescent="0.15">
      <c r="A8" s="351"/>
      <c r="B8" s="352"/>
      <c r="C8" s="84" t="s">
        <v>217</v>
      </c>
      <c r="D8" s="65"/>
      <c r="E8" s="365"/>
      <c r="F8" s="365"/>
      <c r="G8" s="365"/>
      <c r="H8" s="365"/>
      <c r="I8" s="70"/>
      <c r="J8" s="366" t="s">
        <v>278</v>
      </c>
      <c r="K8" s="367"/>
      <c r="L8" s="367"/>
      <c r="M8" s="77"/>
      <c r="N8" s="78"/>
      <c r="O8" s="352"/>
      <c r="P8" s="351"/>
      <c r="Q8" s="67"/>
      <c r="R8" s="67"/>
      <c r="S8" s="368" t="s">
        <v>218</v>
      </c>
      <c r="T8" s="368"/>
      <c r="U8" s="85"/>
      <c r="V8" s="86">
        <f>((J22+L20)*E12)-E30-E51</f>
        <v>0</v>
      </c>
      <c r="W8" s="69"/>
      <c r="X8" s="62"/>
      <c r="Y8" s="63"/>
      <c r="Z8" s="63"/>
      <c r="AA8" s="63"/>
      <c r="AB8" s="63"/>
      <c r="AC8" s="63"/>
      <c r="AD8" s="63"/>
    </row>
    <row r="9" spans="1:30" ht="3" customHeight="1" x14ac:dyDescent="0.15">
      <c r="A9" s="351"/>
      <c r="B9" s="352"/>
      <c r="C9" s="87"/>
      <c r="D9" s="65"/>
      <c r="E9" s="70"/>
      <c r="F9" s="70"/>
      <c r="G9" s="70"/>
      <c r="H9" s="70"/>
      <c r="I9" s="70"/>
      <c r="J9" s="70"/>
      <c r="K9" s="81"/>
      <c r="L9" s="70"/>
      <c r="M9" s="70"/>
      <c r="N9" s="70"/>
      <c r="O9" s="352"/>
      <c r="P9" s="351"/>
      <c r="Q9" s="67"/>
      <c r="R9" s="67"/>
      <c r="S9" s="364"/>
      <c r="T9" s="364"/>
      <c r="U9" s="364"/>
      <c r="V9" s="364"/>
      <c r="W9" s="69"/>
      <c r="X9" s="62"/>
      <c r="Y9" s="63"/>
      <c r="Z9" s="63"/>
      <c r="AA9" s="63"/>
      <c r="AB9" s="63"/>
      <c r="AC9" s="63"/>
      <c r="AD9" s="63"/>
    </row>
    <row r="10" spans="1:30" ht="19.5" customHeight="1" x14ac:dyDescent="0.15">
      <c r="A10" s="351"/>
      <c r="B10" s="352"/>
      <c r="C10" s="84" t="s">
        <v>219</v>
      </c>
      <c r="D10" s="65"/>
      <c r="E10" s="88"/>
      <c r="F10" s="89" t="s">
        <v>220</v>
      </c>
      <c r="G10" s="90"/>
      <c r="H10" s="91" t="e">
        <f>CONCATENATE(" ",AD4," pies"," ","a"," ",AC6," m²/pie")</f>
        <v>#DIV/0!</v>
      </c>
      <c r="I10" s="81"/>
      <c r="J10" s="369"/>
      <c r="K10" s="369"/>
      <c r="L10" s="369"/>
      <c r="M10" s="92"/>
      <c r="N10" s="93" t="s">
        <v>221</v>
      </c>
      <c r="O10" s="352"/>
      <c r="P10" s="351"/>
      <c r="Q10" s="67"/>
      <c r="R10" s="67"/>
      <c r="S10" s="368" t="s">
        <v>222</v>
      </c>
      <c r="T10" s="368"/>
      <c r="U10" s="85"/>
      <c r="V10" s="94">
        <f>(E30+E51)/E12</f>
        <v>0</v>
      </c>
      <c r="W10" s="69"/>
      <c r="X10" s="62"/>
      <c r="Y10" s="63"/>
      <c r="Z10" s="63"/>
      <c r="AA10" s="63"/>
      <c r="AB10" s="63"/>
      <c r="AC10" s="63"/>
      <c r="AD10" s="63"/>
    </row>
    <row r="11" spans="1:30" ht="3" customHeight="1" x14ac:dyDescent="0.15">
      <c r="A11" s="351"/>
      <c r="B11" s="352"/>
      <c r="C11" s="70"/>
      <c r="D11" s="65"/>
      <c r="E11" s="82"/>
      <c r="F11" s="82"/>
      <c r="G11" s="82"/>
      <c r="H11" s="95"/>
      <c r="I11" s="95"/>
      <c r="J11" s="82"/>
      <c r="K11" s="81"/>
      <c r="L11" s="70"/>
      <c r="M11" s="70"/>
      <c r="N11" s="70"/>
      <c r="O11" s="352"/>
      <c r="P11" s="351"/>
      <c r="Q11" s="67"/>
      <c r="R11" s="67"/>
      <c r="S11" s="364"/>
      <c r="T11" s="364"/>
      <c r="U11" s="364"/>
      <c r="V11" s="364"/>
      <c r="W11" s="69"/>
      <c r="X11" s="62"/>
      <c r="Y11" s="63"/>
      <c r="Z11" s="63"/>
      <c r="AA11" s="63"/>
      <c r="AB11" s="63"/>
      <c r="AC11" s="63"/>
      <c r="AD11" s="63"/>
    </row>
    <row r="12" spans="1:30" ht="19.5" customHeight="1" x14ac:dyDescent="0.15">
      <c r="A12" s="351"/>
      <c r="B12" s="352"/>
      <c r="C12" s="96" t="s">
        <v>223</v>
      </c>
      <c r="D12" s="65"/>
      <c r="E12" s="370">
        <v>1</v>
      </c>
      <c r="F12" s="370"/>
      <c r="G12" s="370"/>
      <c r="H12" s="370"/>
      <c r="I12" s="97"/>
      <c r="J12" s="371" t="s">
        <v>224</v>
      </c>
      <c r="K12" s="371"/>
      <c r="L12" s="371"/>
      <c r="M12" s="97"/>
      <c r="N12" s="98" t="str">
        <f>CONCATENATE("M.P.",": ",costes0!I3,"x",costes0!J3," :",costes0!K3,"m²",": ",costes0!H3," ud")</f>
        <v>M.P.: 7 x 5 mx :m²: 286 ud</v>
      </c>
      <c r="O12" s="352"/>
      <c r="P12" s="351"/>
      <c r="Q12" s="67"/>
      <c r="R12" s="67"/>
      <c r="S12" s="368" t="s">
        <v>225</v>
      </c>
      <c r="T12" s="368"/>
      <c r="U12" s="85"/>
      <c r="V12" s="99" t="e">
        <f>(V8/(E30+E51))*100</f>
        <v>#DIV/0!</v>
      </c>
      <c r="W12" s="69"/>
      <c r="X12" s="62"/>
      <c r="Y12" s="63"/>
      <c r="Z12" s="63"/>
      <c r="AA12" s="63"/>
      <c r="AB12" s="63"/>
      <c r="AC12" s="63"/>
      <c r="AD12" s="63"/>
    </row>
    <row r="13" spans="1:30" ht="3" customHeight="1" x14ac:dyDescent="0.15">
      <c r="A13" s="351"/>
      <c r="B13" s="352"/>
      <c r="C13" s="70"/>
      <c r="D13" s="65"/>
      <c r="E13" s="82"/>
      <c r="F13" s="82"/>
      <c r="G13" s="82"/>
      <c r="H13" s="95"/>
      <c r="I13" s="97"/>
      <c r="J13" s="82"/>
      <c r="K13" s="81"/>
      <c r="L13" s="82"/>
      <c r="M13" s="97"/>
      <c r="N13" s="100"/>
      <c r="O13" s="352"/>
      <c r="P13" s="351"/>
      <c r="Q13" s="67"/>
      <c r="R13" s="67"/>
      <c r="S13" s="364"/>
      <c r="T13" s="364"/>
      <c r="U13" s="364"/>
      <c r="V13" s="364"/>
      <c r="W13" s="69"/>
      <c r="X13" s="62"/>
      <c r="Y13" s="63"/>
      <c r="Z13" s="63"/>
      <c r="AA13" s="63"/>
      <c r="AB13" s="63"/>
      <c r="AC13" s="63"/>
      <c r="AD13" s="63"/>
    </row>
    <row r="14" spans="1:30" ht="19.5" customHeight="1" x14ac:dyDescent="0.15">
      <c r="A14" s="351"/>
      <c r="B14" s="352"/>
      <c r="C14" s="84" t="s">
        <v>226</v>
      </c>
      <c r="D14" s="65"/>
      <c r="E14" s="372"/>
      <c r="F14" s="372"/>
      <c r="G14" s="372"/>
      <c r="H14" s="372"/>
      <c r="I14" s="97"/>
      <c r="J14" s="101"/>
      <c r="K14" s="102"/>
      <c r="L14" s="103"/>
      <c r="M14" s="97"/>
      <c r="N14" s="104" t="str">
        <f>CONCATENATE(costes0!C3," ","Kg/Ha"," ","-"," ",costes0!C6," ","€/Kg")</f>
        <v>42500 Kg/Ha - 0,36 €/Kg</v>
      </c>
      <c r="O14" s="352"/>
      <c r="P14" s="351"/>
      <c r="Q14" s="67"/>
      <c r="R14" s="67"/>
      <c r="S14" s="368" t="s">
        <v>284</v>
      </c>
      <c r="T14" s="368"/>
      <c r="U14" s="85"/>
      <c r="V14" s="105" t="e">
        <f>(((E30+E51)-(J18*L14))/E14)/E12</f>
        <v>#DIV/0!</v>
      </c>
      <c r="W14" s="69"/>
      <c r="X14" s="62"/>
      <c r="Y14" s="63"/>
      <c r="Z14" s="63"/>
      <c r="AA14" s="63"/>
      <c r="AB14" s="63"/>
      <c r="AC14" s="63"/>
      <c r="AD14" s="63"/>
    </row>
    <row r="15" spans="1:30" ht="3" customHeight="1" x14ac:dyDescent="0.15">
      <c r="A15" s="351"/>
      <c r="B15" s="352"/>
      <c r="C15" s="70"/>
      <c r="D15" s="65"/>
      <c r="E15" s="70"/>
      <c r="F15" s="70"/>
      <c r="G15" s="70"/>
      <c r="H15" s="106"/>
      <c r="I15" s="97"/>
      <c r="J15" s="354"/>
      <c r="K15" s="354"/>
      <c r="L15" s="354"/>
      <c r="M15" s="97"/>
      <c r="N15" s="97"/>
      <c r="O15" s="352"/>
      <c r="P15" s="351"/>
      <c r="Q15" s="67"/>
      <c r="R15" s="67"/>
      <c r="S15" s="364"/>
      <c r="T15" s="364"/>
      <c r="U15" s="364"/>
      <c r="V15" s="364"/>
      <c r="W15" s="69"/>
      <c r="X15" s="62"/>
      <c r="Y15" s="63"/>
      <c r="Z15" s="63"/>
      <c r="AA15" s="63"/>
      <c r="AB15" s="63"/>
      <c r="AC15" s="63"/>
      <c r="AD15" s="63"/>
    </row>
    <row r="16" spans="1:30" ht="19.5" customHeight="1" x14ac:dyDescent="0.15">
      <c r="A16" s="351"/>
      <c r="B16" s="352"/>
      <c r="C16" s="84" t="s">
        <v>227</v>
      </c>
      <c r="D16" s="65"/>
      <c r="E16" s="373"/>
      <c r="F16" s="374"/>
      <c r="G16" s="374"/>
      <c r="H16" s="375"/>
      <c r="I16" s="97"/>
      <c r="J16" s="376">
        <f>E16/E12</f>
        <v>0</v>
      </c>
      <c r="K16" s="376"/>
      <c r="L16" s="376"/>
      <c r="M16" s="97"/>
      <c r="N16" s="107">
        <f>N22+costes0!D7</f>
        <v>13821</v>
      </c>
      <c r="O16" s="352"/>
      <c r="P16" s="351"/>
      <c r="Q16" s="67"/>
      <c r="R16" s="67"/>
      <c r="S16" s="368" t="s">
        <v>228</v>
      </c>
      <c r="T16" s="368"/>
      <c r="U16" s="85"/>
      <c r="V16" s="108" t="e">
        <f>((E30+E51)-J20)/(E16-J18)</f>
        <v>#DIV/0!</v>
      </c>
      <c r="W16" s="69"/>
      <c r="X16" s="62"/>
      <c r="Y16" s="63"/>
      <c r="Z16" s="63"/>
      <c r="AA16" s="63"/>
      <c r="AB16" s="63"/>
      <c r="AC16" s="63"/>
      <c r="AD16" s="63"/>
    </row>
    <row r="17" spans="1:30" ht="3" customHeight="1" x14ac:dyDescent="0.15">
      <c r="A17" s="351"/>
      <c r="B17" s="352"/>
      <c r="C17" s="109"/>
      <c r="D17" s="65"/>
      <c r="E17" s="70"/>
      <c r="F17" s="70"/>
      <c r="G17" s="70"/>
      <c r="H17" s="106"/>
      <c r="I17" s="97"/>
      <c r="J17" s="106"/>
      <c r="K17" s="81"/>
      <c r="L17" s="110"/>
      <c r="M17" s="97"/>
      <c r="N17" s="70"/>
      <c r="O17" s="352"/>
      <c r="P17" s="351"/>
      <c r="Q17" s="67"/>
      <c r="R17" s="67"/>
      <c r="S17" s="364"/>
      <c r="T17" s="364"/>
      <c r="U17" s="364"/>
      <c r="V17" s="364"/>
      <c r="W17" s="69"/>
      <c r="X17" s="62"/>
      <c r="Y17" s="63"/>
      <c r="Z17" s="63"/>
      <c r="AA17" s="63"/>
      <c r="AB17" s="63"/>
      <c r="AC17" s="63"/>
      <c r="AD17" s="63"/>
    </row>
    <row r="18" spans="1:30" ht="18.75" customHeight="1" x14ac:dyDescent="0.15">
      <c r="A18" s="351"/>
      <c r="B18" s="352"/>
      <c r="C18" s="377" t="s">
        <v>229</v>
      </c>
      <c r="D18" s="65"/>
      <c r="E18" s="378" t="s">
        <v>213</v>
      </c>
      <c r="F18" s="65"/>
      <c r="G18" s="379"/>
      <c r="H18" s="379"/>
      <c r="I18" s="97"/>
      <c r="J18" s="111">
        <f>IF(E18="Si",(E16*(G18/100)),0)</f>
        <v>0</v>
      </c>
      <c r="K18" s="81"/>
      <c r="L18" s="112">
        <f>J18/E12</f>
        <v>0</v>
      </c>
      <c r="M18" s="97"/>
      <c r="N18" s="104" t="str">
        <f>CONCATENATE(costes0!C4," ","%"," ","a"," ",costes0!C7," ","€/Kg")</f>
        <v>12 % a 0,07 €/Kg</v>
      </c>
      <c r="O18" s="352"/>
      <c r="P18" s="351"/>
      <c r="Q18" s="67"/>
      <c r="R18" s="67"/>
      <c r="S18" s="363" t="s">
        <v>230</v>
      </c>
      <c r="T18" s="363"/>
      <c r="U18" s="363"/>
      <c r="V18" s="363"/>
      <c r="W18" s="69"/>
      <c r="X18" s="62"/>
      <c r="Y18" s="63"/>
      <c r="Z18" s="63"/>
      <c r="AA18" s="63"/>
      <c r="AB18" s="63"/>
      <c r="AC18" s="63"/>
      <c r="AD18" s="63"/>
    </row>
    <row r="19" spans="1:30" ht="3" customHeight="1" x14ac:dyDescent="0.15">
      <c r="A19" s="351"/>
      <c r="B19" s="352"/>
      <c r="C19" s="377"/>
      <c r="D19" s="65"/>
      <c r="E19" s="378"/>
      <c r="F19" s="65"/>
      <c r="G19" s="379"/>
      <c r="H19" s="379"/>
      <c r="I19" s="97"/>
      <c r="J19" s="106"/>
      <c r="K19" s="81"/>
      <c r="L19" s="110"/>
      <c r="M19" s="97"/>
      <c r="N19" s="113"/>
      <c r="O19" s="352"/>
      <c r="P19" s="351"/>
      <c r="Q19" s="67"/>
      <c r="R19" s="67"/>
      <c r="S19" s="364"/>
      <c r="T19" s="364"/>
      <c r="U19" s="364"/>
      <c r="V19" s="364"/>
      <c r="W19" s="69"/>
      <c r="X19" s="62"/>
      <c r="Y19" s="63"/>
      <c r="Z19" s="63"/>
      <c r="AA19" s="63"/>
      <c r="AB19" s="63"/>
      <c r="AC19" s="63"/>
      <c r="AD19" s="63"/>
    </row>
    <row r="20" spans="1:30" ht="19.5" customHeight="1" x14ac:dyDescent="0.15">
      <c r="A20" s="351"/>
      <c r="B20" s="352"/>
      <c r="C20" s="377"/>
      <c r="D20" s="65"/>
      <c r="E20" s="378"/>
      <c r="F20" s="65"/>
      <c r="G20" s="379"/>
      <c r="H20" s="379"/>
      <c r="I20" s="65"/>
      <c r="J20" s="114">
        <f>IF(E18="Si",J18*L14,0)</f>
        <v>0</v>
      </c>
      <c r="K20" s="65"/>
      <c r="L20" s="115">
        <f>J20/E12</f>
        <v>0</v>
      </c>
      <c r="M20" s="97"/>
      <c r="N20" s="116" t="str">
        <f>CONCATENATE(costes0!D5," ","Kg/Ha"," ","-"," ",costes0!D7," ","€/Ha")</f>
        <v>5100 Kg/Ha - 357 €/Ha</v>
      </c>
      <c r="O20" s="352"/>
      <c r="P20" s="351"/>
      <c r="Q20" s="67"/>
      <c r="R20" s="67"/>
      <c r="S20" s="368" t="s">
        <v>231</v>
      </c>
      <c r="T20" s="368"/>
      <c r="U20" s="85"/>
      <c r="V20" s="117" t="str">
        <f>IF(E24=0," NO PROCEDE",E16/(J28*E12))</f>
        <v xml:space="preserve"> NO PROCEDE</v>
      </c>
      <c r="W20" s="69"/>
      <c r="X20" s="62"/>
      <c r="Y20" s="63"/>
      <c r="Z20" s="63"/>
      <c r="AA20" s="63"/>
      <c r="AB20" s="63"/>
      <c r="AC20" s="63"/>
      <c r="AD20" s="63"/>
    </row>
    <row r="21" spans="1:30" ht="3" customHeight="1" x14ac:dyDescent="0.15">
      <c r="A21" s="351"/>
      <c r="B21" s="352"/>
      <c r="C21" s="65"/>
      <c r="D21" s="65"/>
      <c r="E21" s="70"/>
      <c r="F21" s="65"/>
      <c r="G21" s="65"/>
      <c r="H21" s="106"/>
      <c r="I21" s="97"/>
      <c r="J21" s="106"/>
      <c r="K21" s="81"/>
      <c r="L21" s="110"/>
      <c r="M21" s="97"/>
      <c r="N21" s="70"/>
      <c r="O21" s="352"/>
      <c r="P21" s="351"/>
      <c r="Q21" s="67"/>
      <c r="R21" s="67"/>
      <c r="S21" s="364"/>
      <c r="T21" s="364"/>
      <c r="U21" s="364"/>
      <c r="V21" s="364"/>
      <c r="W21" s="69"/>
      <c r="X21" s="62"/>
      <c r="Y21" s="63"/>
      <c r="Z21" s="63"/>
      <c r="AA21" s="63"/>
      <c r="AB21" s="63"/>
      <c r="AC21" s="63"/>
      <c r="AD21" s="63"/>
    </row>
    <row r="22" spans="1:30" ht="19.5" customHeight="1" x14ac:dyDescent="0.15">
      <c r="A22" s="351"/>
      <c r="B22" s="352"/>
      <c r="C22" s="84" t="s">
        <v>232</v>
      </c>
      <c r="D22" s="65"/>
      <c r="E22" s="380">
        <f>J16-L18</f>
        <v>0</v>
      </c>
      <c r="F22" s="380"/>
      <c r="G22" s="380"/>
      <c r="H22" s="380"/>
      <c r="I22" s="97"/>
      <c r="J22" s="381">
        <f>((E16-J18)*E14)/E12</f>
        <v>0</v>
      </c>
      <c r="K22" s="382"/>
      <c r="L22" s="383"/>
      <c r="M22" s="97"/>
      <c r="N22" s="118">
        <f>costes0!C5*costes0!C6</f>
        <v>13464</v>
      </c>
      <c r="O22" s="352"/>
      <c r="P22" s="351"/>
      <c r="Q22" s="119" t="str">
        <f>IF(J22+1&lt;N22,"Menor que REF.","Mayor que REF.")</f>
        <v>Menor que REF.</v>
      </c>
      <c r="R22" s="67"/>
      <c r="S22" s="368" t="s">
        <v>233</v>
      </c>
      <c r="T22" s="368"/>
      <c r="U22" s="85"/>
      <c r="V22" s="120" t="str">
        <f>IF(E24=0," NO PROCEDE",(((E16-J18)*E14)+(J18*L14))/(J28*E12))</f>
        <v xml:space="preserve"> NO PROCEDE</v>
      </c>
      <c r="W22" s="69"/>
      <c r="X22" s="62"/>
      <c r="Y22" s="63"/>
      <c r="Z22" s="63"/>
      <c r="AA22" s="63"/>
      <c r="AB22" s="63"/>
      <c r="AC22" s="63"/>
      <c r="AD22" s="63"/>
    </row>
    <row r="23" spans="1:30" ht="3" customHeight="1" x14ac:dyDescent="0.15">
      <c r="A23" s="351"/>
      <c r="B23" s="352"/>
      <c r="C23" s="65"/>
      <c r="D23" s="65"/>
      <c r="E23" s="70"/>
      <c r="F23" s="65"/>
      <c r="G23" s="65"/>
      <c r="H23" s="106"/>
      <c r="I23" s="97"/>
      <c r="J23" s="106"/>
      <c r="K23" s="81"/>
      <c r="L23" s="110"/>
      <c r="M23" s="97"/>
      <c r="N23" s="70"/>
      <c r="O23" s="352"/>
      <c r="P23" s="351"/>
      <c r="Q23" s="67"/>
      <c r="R23" s="67"/>
      <c r="S23" s="364"/>
      <c r="T23" s="364"/>
      <c r="U23" s="364"/>
      <c r="V23" s="364"/>
      <c r="W23" s="69"/>
      <c r="X23" s="62"/>
      <c r="Y23" s="63"/>
      <c r="Z23" s="63"/>
      <c r="AA23" s="63"/>
      <c r="AB23" s="63"/>
      <c r="AC23" s="63"/>
      <c r="AD23" s="63"/>
    </row>
    <row r="24" spans="1:30" ht="19.5" customHeight="1" x14ac:dyDescent="0.15">
      <c r="A24" s="351"/>
      <c r="B24" s="352"/>
      <c r="C24" s="84" t="s">
        <v>234</v>
      </c>
      <c r="D24" s="65"/>
      <c r="E24" s="355"/>
      <c r="F24" s="355"/>
      <c r="G24" s="355"/>
      <c r="H24" s="355"/>
      <c r="I24" s="97"/>
      <c r="J24" s="356" t="str">
        <f>IF(E24=0,"No Procede",E24)</f>
        <v>No Procede</v>
      </c>
      <c r="K24" s="356"/>
      <c r="L24" s="356"/>
      <c r="M24" s="97"/>
      <c r="N24" s="121">
        <f>costes0!C23</f>
        <v>0.35</v>
      </c>
      <c r="O24" s="352"/>
      <c r="P24" s="351"/>
      <c r="Q24" s="67"/>
      <c r="R24" s="67"/>
      <c r="S24" s="368" t="s">
        <v>235</v>
      </c>
      <c r="T24" s="368"/>
      <c r="U24" s="85"/>
      <c r="V24" s="120" t="str">
        <f>IF(E24=0," NO PROCEDE",V8/(J28*E12))</f>
        <v xml:space="preserve"> NO PROCEDE</v>
      </c>
      <c r="W24" s="122"/>
      <c r="X24" s="62"/>
      <c r="Y24" s="63"/>
      <c r="Z24" s="63"/>
      <c r="AA24" s="63"/>
      <c r="AB24" s="63"/>
      <c r="AC24" s="63"/>
      <c r="AD24" s="63"/>
    </row>
    <row r="25" spans="1:30" ht="3" customHeight="1" x14ac:dyDescent="0.15">
      <c r="A25" s="351"/>
      <c r="B25" s="352"/>
      <c r="C25" s="70"/>
      <c r="D25" s="65"/>
      <c r="E25" s="65"/>
      <c r="F25" s="65"/>
      <c r="G25" s="65"/>
      <c r="H25" s="106"/>
      <c r="I25" s="97"/>
      <c r="J25" s="123"/>
      <c r="K25" s="124"/>
      <c r="L25" s="125"/>
      <c r="M25" s="97"/>
      <c r="N25" s="70"/>
      <c r="O25" s="352"/>
      <c r="P25" s="351"/>
      <c r="Q25" s="67"/>
      <c r="R25" s="67"/>
      <c r="S25" s="364"/>
      <c r="T25" s="364"/>
      <c r="U25" s="364"/>
      <c r="V25" s="364"/>
      <c r="W25" s="122"/>
      <c r="X25" s="62"/>
      <c r="Y25" s="63"/>
      <c r="Z25" s="63"/>
      <c r="AA25" s="63"/>
      <c r="AB25" s="63"/>
      <c r="AC25" s="63"/>
      <c r="AD25" s="63"/>
    </row>
    <row r="26" spans="1:30" ht="19.5" customHeight="1" x14ac:dyDescent="0.15">
      <c r="A26" s="351"/>
      <c r="B26" s="352"/>
      <c r="C26" s="377" t="s">
        <v>236</v>
      </c>
      <c r="D26" s="65"/>
      <c r="E26" s="384"/>
      <c r="F26" s="384"/>
      <c r="G26" s="384"/>
      <c r="H26" s="384"/>
      <c r="I26" s="126"/>
      <c r="J26" s="385">
        <f>IF(E24&gt;0,E26/E12,0)</f>
        <v>0</v>
      </c>
      <c r="K26" s="385"/>
      <c r="L26" s="385"/>
      <c r="M26" s="97"/>
      <c r="N26" s="107">
        <f>costes0!D22</f>
        <v>2024.9249999999995</v>
      </c>
      <c r="O26" s="352"/>
      <c r="P26" s="351"/>
      <c r="Q26" s="67"/>
      <c r="R26" s="67"/>
      <c r="S26" s="386"/>
      <c r="T26" s="387"/>
      <c r="U26" s="387"/>
      <c r="V26" s="387"/>
      <c r="W26" s="122"/>
      <c r="X26" s="122"/>
      <c r="Y26" s="63"/>
      <c r="Z26" s="63"/>
      <c r="AA26" s="63"/>
      <c r="AB26" s="63"/>
      <c r="AC26" s="63"/>
      <c r="AD26" s="63"/>
    </row>
    <row r="27" spans="1:30" ht="3" customHeight="1" x14ac:dyDescent="0.15">
      <c r="A27" s="351"/>
      <c r="B27" s="352"/>
      <c r="C27" s="377"/>
      <c r="D27" s="65"/>
      <c r="E27" s="384"/>
      <c r="F27" s="384"/>
      <c r="G27" s="384"/>
      <c r="H27" s="384"/>
      <c r="I27" s="97"/>
      <c r="J27" s="70"/>
      <c r="K27" s="81"/>
      <c r="L27" s="109"/>
      <c r="M27" s="97"/>
      <c r="N27" s="70"/>
      <c r="O27" s="352"/>
      <c r="P27" s="351"/>
      <c r="Q27" s="67"/>
      <c r="R27" s="67"/>
      <c r="S27" s="127"/>
      <c r="T27" s="127"/>
      <c r="U27" s="127"/>
      <c r="V27" s="127"/>
      <c r="W27" s="69"/>
      <c r="X27" s="127"/>
      <c r="Y27" s="63"/>
      <c r="Z27" s="63"/>
      <c r="AA27" s="63"/>
      <c r="AB27" s="63"/>
      <c r="AC27" s="63"/>
      <c r="AD27" s="63"/>
    </row>
    <row r="28" spans="1:30" ht="19.5" customHeight="1" x14ac:dyDescent="0.15">
      <c r="A28" s="351"/>
      <c r="B28" s="352"/>
      <c r="C28" s="377"/>
      <c r="D28" s="65"/>
      <c r="E28" s="384"/>
      <c r="F28" s="384"/>
      <c r="G28" s="384"/>
      <c r="H28" s="384"/>
      <c r="I28" s="97"/>
      <c r="J28" s="388" t="str">
        <f>IF(E24&gt;0,(E26/E12)/E24,"No Procede")</f>
        <v>No Procede</v>
      </c>
      <c r="K28" s="389"/>
      <c r="L28" s="390"/>
      <c r="M28" s="97"/>
      <c r="N28" s="128" t="str">
        <f>CONCATENATE("Agua"," ",costes0!C22," ","m3/ha")</f>
        <v>Agua 5700 m3/ha</v>
      </c>
      <c r="O28" s="352"/>
      <c r="P28" s="351"/>
      <c r="Q28" s="119" t="e">
        <v>#VALUE!</v>
      </c>
      <c r="R28" s="67"/>
      <c r="S28" s="129"/>
      <c r="T28" s="127"/>
      <c r="U28" s="127"/>
      <c r="V28" s="127"/>
      <c r="W28" s="127"/>
      <c r="X28" s="127"/>
      <c r="Y28" s="63"/>
      <c r="Z28" s="63"/>
      <c r="AA28" s="63"/>
      <c r="AB28" s="63"/>
      <c r="AC28" s="63"/>
      <c r="AD28" s="63"/>
    </row>
    <row r="29" spans="1:30" ht="3" customHeight="1" x14ac:dyDescent="0.15">
      <c r="A29" s="351"/>
      <c r="B29" s="352"/>
      <c r="C29" s="70"/>
      <c r="D29" s="65"/>
      <c r="E29" s="70"/>
      <c r="F29" s="65"/>
      <c r="G29" s="70"/>
      <c r="H29" s="106"/>
      <c r="I29" s="97"/>
      <c r="J29" s="106"/>
      <c r="K29" s="81"/>
      <c r="L29" s="106"/>
      <c r="M29" s="97"/>
      <c r="N29" s="70"/>
      <c r="O29" s="352"/>
      <c r="P29" s="351"/>
      <c r="Q29" s="67"/>
      <c r="R29" s="67"/>
      <c r="S29" s="127"/>
      <c r="T29" s="127"/>
      <c r="U29" s="127"/>
      <c r="V29" s="127"/>
      <c r="W29" s="127"/>
      <c r="X29" s="127"/>
      <c r="Y29" s="63"/>
      <c r="Z29" s="63"/>
      <c r="AA29" s="63"/>
      <c r="AB29" s="63"/>
      <c r="AC29" s="63"/>
      <c r="AD29" s="63"/>
    </row>
    <row r="30" spans="1:30" ht="20.25" customHeight="1" x14ac:dyDescent="0.15">
      <c r="A30" s="351"/>
      <c r="B30" s="352"/>
      <c r="C30" s="130" t="s">
        <v>237</v>
      </c>
      <c r="D30" s="65"/>
      <c r="E30" s="391">
        <f>V32+V34+V36+V38+V40+V42+V44+V46+V48</f>
        <v>0</v>
      </c>
      <c r="F30" s="391"/>
      <c r="G30" s="391"/>
      <c r="H30" s="391"/>
      <c r="I30" s="97"/>
      <c r="J30" s="392">
        <f>J32+J34+J36+J38+J40+J42+J44+J46+J48</f>
        <v>0</v>
      </c>
      <c r="K30" s="392"/>
      <c r="L30" s="392"/>
      <c r="M30" s="97"/>
      <c r="N30" s="131">
        <f>N32+N34+N36+N38+N40+N42+N44+N46+N48</f>
        <v>886.91824696969684</v>
      </c>
      <c r="O30" s="352"/>
      <c r="P30" s="351"/>
      <c r="Q30" s="127"/>
      <c r="R30" s="127"/>
      <c r="S30" s="127"/>
      <c r="T30" s="132" t="s">
        <v>237</v>
      </c>
      <c r="U30" s="127"/>
      <c r="V30" s="133">
        <f>E30</f>
        <v>0</v>
      </c>
      <c r="W30" s="127"/>
      <c r="X30" s="127"/>
      <c r="Y30" s="63"/>
      <c r="Z30" s="63"/>
      <c r="AA30" s="63"/>
      <c r="AB30" s="63"/>
      <c r="AC30" s="63"/>
      <c r="AD30" s="63"/>
    </row>
    <row r="31" spans="1:30" ht="3" customHeight="1" x14ac:dyDescent="0.15">
      <c r="A31" s="351"/>
      <c r="B31" s="352"/>
      <c r="C31" s="70"/>
      <c r="D31" s="65"/>
      <c r="E31" s="70"/>
      <c r="F31" s="70"/>
      <c r="G31" s="70"/>
      <c r="H31" s="106"/>
      <c r="I31" s="97"/>
      <c r="J31" s="106"/>
      <c r="K31" s="81"/>
      <c r="L31" s="106"/>
      <c r="M31" s="97"/>
      <c r="N31" s="70"/>
      <c r="O31" s="352"/>
      <c r="P31" s="351"/>
      <c r="Q31" s="127"/>
      <c r="R31" s="127"/>
      <c r="S31" s="127"/>
      <c r="T31" s="127"/>
      <c r="U31" s="127"/>
      <c r="V31" s="127"/>
      <c r="W31" s="127"/>
      <c r="X31" s="127"/>
      <c r="Y31" s="63"/>
      <c r="Z31" s="63"/>
      <c r="AA31" s="63"/>
      <c r="AB31" s="63"/>
      <c r="AC31" s="63"/>
      <c r="AD31" s="63"/>
    </row>
    <row r="32" spans="1:30" ht="19.5" customHeight="1" x14ac:dyDescent="0.15">
      <c r="A32" s="351"/>
      <c r="B32" s="352"/>
      <c r="C32" s="84" t="s">
        <v>238</v>
      </c>
      <c r="D32" s="65"/>
      <c r="E32" s="134" t="s">
        <v>213</v>
      </c>
      <c r="F32" s="65"/>
      <c r="G32" s="393"/>
      <c r="H32" s="393"/>
      <c r="I32" s="97"/>
      <c r="J32" s="385">
        <f>IF(E32="Si",G32/E12,0)</f>
        <v>0</v>
      </c>
      <c r="K32" s="385"/>
      <c r="L32" s="385"/>
      <c r="M32" s="97"/>
      <c r="N32" s="107">
        <f>Inversión!I3</f>
        <v>98.967999999999989</v>
      </c>
      <c r="O32" s="352"/>
      <c r="P32" s="351"/>
      <c r="Q32" s="119" t="str">
        <f>IF(J32+1&lt;N32,"Menor que REF.","Mayor que REF.")</f>
        <v>Menor que REF.</v>
      </c>
      <c r="R32" s="127"/>
      <c r="S32" s="127"/>
      <c r="T32" s="135" t="s">
        <v>238</v>
      </c>
      <c r="U32" s="127"/>
      <c r="V32" s="136">
        <f>IF(E32="SI",G32,0)</f>
        <v>0</v>
      </c>
      <c r="W32" s="127"/>
      <c r="X32" s="127"/>
      <c r="Y32" s="63"/>
      <c r="Z32" s="63"/>
      <c r="AA32" s="63"/>
      <c r="AB32" s="63"/>
      <c r="AC32" s="63"/>
      <c r="AD32" s="63"/>
    </row>
    <row r="33" spans="1:30" ht="3" customHeight="1" x14ac:dyDescent="0.15">
      <c r="A33" s="351"/>
      <c r="B33" s="352"/>
      <c r="C33" s="70"/>
      <c r="D33" s="65"/>
      <c r="E33" s="70"/>
      <c r="F33" s="65"/>
      <c r="G33" s="65"/>
      <c r="H33" s="106"/>
      <c r="I33" s="97"/>
      <c r="J33" s="137"/>
      <c r="K33" s="81"/>
      <c r="L33" s="110"/>
      <c r="M33" s="97"/>
      <c r="N33" s="70"/>
      <c r="O33" s="352"/>
      <c r="P33" s="351"/>
      <c r="Q33" s="138"/>
      <c r="R33" s="127"/>
      <c r="S33" s="127"/>
      <c r="T33" s="85"/>
      <c r="U33" s="127"/>
      <c r="V33" s="139"/>
      <c r="W33" s="127"/>
      <c r="X33" s="127"/>
      <c r="Y33" s="63"/>
      <c r="Z33" s="63"/>
      <c r="AA33" s="63"/>
      <c r="AB33" s="63"/>
      <c r="AC33" s="63"/>
      <c r="AD33" s="63"/>
    </row>
    <row r="34" spans="1:30" ht="19.5" customHeight="1" x14ac:dyDescent="0.15">
      <c r="A34" s="351"/>
      <c r="B34" s="352"/>
      <c r="C34" s="84" t="s">
        <v>239</v>
      </c>
      <c r="D34" s="65"/>
      <c r="E34" s="134" t="s">
        <v>213</v>
      </c>
      <c r="F34" s="65"/>
      <c r="G34" s="393"/>
      <c r="H34" s="393"/>
      <c r="I34" s="97"/>
      <c r="J34" s="385">
        <f>IF(E34="Si",G34/E12,0)</f>
        <v>0</v>
      </c>
      <c r="K34" s="385"/>
      <c r="L34" s="385"/>
      <c r="M34" s="97"/>
      <c r="N34" s="107">
        <f>Inversión!I4</f>
        <v>177.625</v>
      </c>
      <c r="O34" s="352"/>
      <c r="P34" s="351"/>
      <c r="Q34" s="119" t="str">
        <f>IF(J34+1&lt;N34,"Menor que REF.","Mayor que REF.")</f>
        <v>Menor que REF.</v>
      </c>
      <c r="R34" s="127"/>
      <c r="S34" s="127"/>
      <c r="T34" s="135" t="s">
        <v>239</v>
      </c>
      <c r="U34" s="127"/>
      <c r="V34" s="136">
        <f>IF(E34="SI",G34,0)</f>
        <v>0</v>
      </c>
      <c r="W34" s="127"/>
      <c r="X34" s="127"/>
      <c r="Y34" s="63"/>
      <c r="Z34" s="63"/>
      <c r="AA34" s="63"/>
      <c r="AB34" s="63"/>
      <c r="AC34" s="63"/>
      <c r="AD34" s="63"/>
    </row>
    <row r="35" spans="1:30" ht="3" customHeight="1" x14ac:dyDescent="0.15">
      <c r="A35" s="351"/>
      <c r="B35" s="352"/>
      <c r="C35" s="70"/>
      <c r="D35" s="65"/>
      <c r="E35" s="70"/>
      <c r="F35" s="65"/>
      <c r="G35" s="65"/>
      <c r="H35" s="106"/>
      <c r="I35" s="97"/>
      <c r="J35" s="137"/>
      <c r="K35" s="81"/>
      <c r="L35" s="110"/>
      <c r="M35" s="97"/>
      <c r="N35" s="70"/>
      <c r="O35" s="352"/>
      <c r="P35" s="351"/>
      <c r="Q35" s="138"/>
      <c r="R35" s="127"/>
      <c r="S35" s="127"/>
      <c r="T35" s="85"/>
      <c r="U35" s="127"/>
      <c r="V35" s="139"/>
      <c r="W35" s="127"/>
      <c r="X35" s="127"/>
      <c r="Y35" s="63"/>
      <c r="Z35" s="63"/>
      <c r="AA35" s="63"/>
      <c r="AB35" s="63"/>
      <c r="AC35" s="63"/>
      <c r="AD35" s="63"/>
    </row>
    <row r="36" spans="1:30" ht="19.5" customHeight="1" x14ac:dyDescent="0.15">
      <c r="A36" s="351"/>
      <c r="B36" s="352"/>
      <c r="C36" s="84" t="s">
        <v>240</v>
      </c>
      <c r="D36" s="65"/>
      <c r="E36" s="134" t="s">
        <v>213</v>
      </c>
      <c r="F36" s="65"/>
      <c r="G36" s="393"/>
      <c r="H36" s="393"/>
      <c r="I36" s="97"/>
      <c r="J36" s="385">
        <f>IF(E36="Si",G36/E12,0)</f>
        <v>0</v>
      </c>
      <c r="K36" s="385"/>
      <c r="L36" s="385"/>
      <c r="M36" s="97"/>
      <c r="N36" s="107">
        <f>Inversión!I5</f>
        <v>151.45999999999998</v>
      </c>
      <c r="O36" s="352"/>
      <c r="P36" s="351"/>
      <c r="Q36" s="119" t="str">
        <f>IF(J36+1&lt;N36,"Menor que REF.","Mayor que REF.")</f>
        <v>Menor que REF.</v>
      </c>
      <c r="R36" s="127"/>
      <c r="S36" s="127"/>
      <c r="T36" s="135" t="s">
        <v>240</v>
      </c>
      <c r="U36" s="127"/>
      <c r="V36" s="136">
        <f>IF(E36="SI",G36,0)</f>
        <v>0</v>
      </c>
      <c r="W36" s="127"/>
      <c r="X36" s="127"/>
      <c r="Y36" s="140"/>
      <c r="Z36" s="63"/>
      <c r="AA36" s="63"/>
      <c r="AB36" s="63"/>
      <c r="AC36" s="63"/>
      <c r="AD36" s="63"/>
    </row>
    <row r="37" spans="1:30" ht="3" customHeight="1" x14ac:dyDescent="0.15">
      <c r="A37" s="351"/>
      <c r="B37" s="352"/>
      <c r="C37" s="70"/>
      <c r="D37" s="65"/>
      <c r="E37" s="70"/>
      <c r="F37" s="65"/>
      <c r="G37" s="65"/>
      <c r="H37" s="106"/>
      <c r="I37" s="97"/>
      <c r="J37" s="137"/>
      <c r="K37" s="81"/>
      <c r="L37" s="110"/>
      <c r="M37" s="97"/>
      <c r="N37" s="70"/>
      <c r="O37" s="352"/>
      <c r="P37" s="351"/>
      <c r="Q37" s="138"/>
      <c r="R37" s="127"/>
      <c r="S37" s="127"/>
      <c r="T37" s="85"/>
      <c r="U37" s="127"/>
      <c r="V37" s="139"/>
      <c r="W37" s="127"/>
      <c r="X37" s="127"/>
      <c r="Y37" s="63"/>
      <c r="Z37" s="63"/>
      <c r="AA37" s="63"/>
      <c r="AB37" s="63"/>
      <c r="AC37" s="63"/>
      <c r="AD37" s="63"/>
    </row>
    <row r="38" spans="1:30" ht="19.5" customHeight="1" x14ac:dyDescent="0.15">
      <c r="A38" s="351"/>
      <c r="B38" s="352"/>
      <c r="C38" s="141" t="s">
        <v>241</v>
      </c>
      <c r="D38" s="65"/>
      <c r="E38" s="134" t="s">
        <v>213</v>
      </c>
      <c r="F38" s="65"/>
      <c r="G38" s="393"/>
      <c r="H38" s="393"/>
      <c r="I38" s="97"/>
      <c r="J38" s="385">
        <f>IF(E38="Si",G38/E12,0)</f>
        <v>0</v>
      </c>
      <c r="K38" s="385"/>
      <c r="L38" s="385"/>
      <c r="M38" s="97"/>
      <c r="N38" s="107">
        <f>Inversión!I6</f>
        <v>155.93636363636364</v>
      </c>
      <c r="O38" s="352"/>
      <c r="P38" s="351"/>
      <c r="Q38" s="119" t="str">
        <f>IF(J38+1&lt;N38,"Menor que REF.","Mayor que REF.")</f>
        <v>Menor que REF.</v>
      </c>
      <c r="R38" s="127"/>
      <c r="S38" s="127"/>
      <c r="T38" s="142" t="s">
        <v>241</v>
      </c>
      <c r="U38" s="127"/>
      <c r="V38" s="136">
        <f>IF(E38="SI",G38,0)</f>
        <v>0</v>
      </c>
      <c r="W38" s="127"/>
      <c r="X38" s="127"/>
      <c r="Y38" s="63"/>
      <c r="Z38" s="63"/>
      <c r="AA38" s="63"/>
      <c r="AB38" s="63"/>
      <c r="AC38" s="63"/>
      <c r="AD38" s="63"/>
    </row>
    <row r="39" spans="1:30" ht="3" customHeight="1" x14ac:dyDescent="0.15">
      <c r="A39" s="351"/>
      <c r="B39" s="352"/>
      <c r="C39" s="70"/>
      <c r="D39" s="65"/>
      <c r="E39" s="70"/>
      <c r="F39" s="65"/>
      <c r="G39" s="65"/>
      <c r="H39" s="106"/>
      <c r="I39" s="97"/>
      <c r="J39" s="137"/>
      <c r="K39" s="81"/>
      <c r="L39" s="110"/>
      <c r="M39" s="97"/>
      <c r="N39" s="70"/>
      <c r="O39" s="352"/>
      <c r="P39" s="351"/>
      <c r="Q39" s="138"/>
      <c r="R39" s="127"/>
      <c r="S39" s="127"/>
      <c r="T39" s="85"/>
      <c r="U39" s="127"/>
      <c r="V39" s="139"/>
      <c r="W39" s="127"/>
      <c r="X39" s="127"/>
      <c r="Y39" s="63"/>
      <c r="Z39" s="63"/>
      <c r="AA39" s="63"/>
      <c r="AB39" s="63"/>
      <c r="AC39" s="63"/>
      <c r="AD39" s="63"/>
    </row>
    <row r="40" spans="1:30" ht="19.5" customHeight="1" x14ac:dyDescent="0.15">
      <c r="A40" s="351"/>
      <c r="B40" s="352"/>
      <c r="C40" s="141" t="s">
        <v>242</v>
      </c>
      <c r="D40" s="65"/>
      <c r="E40" s="134" t="s">
        <v>213</v>
      </c>
      <c r="F40" s="65"/>
      <c r="G40" s="393"/>
      <c r="H40" s="393"/>
      <c r="I40" s="97"/>
      <c r="J40" s="385">
        <f>IF(E40="Si",G40/E12,0)</f>
        <v>0</v>
      </c>
      <c r="K40" s="385"/>
      <c r="L40" s="385"/>
      <c r="M40" s="97"/>
      <c r="N40" s="107">
        <f>Inversión!I7</f>
        <v>25.4</v>
      </c>
      <c r="O40" s="352"/>
      <c r="P40" s="351"/>
      <c r="Q40" s="119" t="str">
        <f>IF(J40+1&lt;N40,"Menor que REF.","Mayor que REF.")</f>
        <v>Menor que REF.</v>
      </c>
      <c r="R40" s="127"/>
      <c r="S40" s="127"/>
      <c r="T40" s="142" t="s">
        <v>242</v>
      </c>
      <c r="U40" s="127"/>
      <c r="V40" s="136">
        <f>IF(E40="SI",G40,0)</f>
        <v>0</v>
      </c>
      <c r="W40" s="127"/>
      <c r="X40" s="127"/>
      <c r="Y40" s="63"/>
      <c r="Z40" s="63"/>
      <c r="AA40" s="63"/>
      <c r="AB40" s="63"/>
      <c r="AC40" s="63"/>
      <c r="AD40" s="63"/>
    </row>
    <row r="41" spans="1:30" ht="3" customHeight="1" x14ac:dyDescent="0.15">
      <c r="A41" s="351"/>
      <c r="B41" s="352"/>
      <c r="C41" s="87"/>
      <c r="D41" s="65"/>
      <c r="E41" s="97"/>
      <c r="F41" s="65"/>
      <c r="G41" s="65"/>
      <c r="H41" s="143"/>
      <c r="I41" s="97"/>
      <c r="J41" s="144"/>
      <c r="K41" s="81"/>
      <c r="L41" s="145"/>
      <c r="M41" s="97"/>
      <c r="N41" s="143"/>
      <c r="O41" s="352"/>
      <c r="P41" s="351"/>
      <c r="Q41" s="138"/>
      <c r="R41" s="127"/>
      <c r="S41" s="127"/>
      <c r="T41" s="146"/>
      <c r="U41" s="127"/>
      <c r="V41" s="139"/>
      <c r="W41" s="127"/>
      <c r="X41" s="127"/>
      <c r="Y41" s="63"/>
      <c r="Z41" s="63"/>
      <c r="AA41" s="63"/>
      <c r="AB41" s="63"/>
      <c r="AC41" s="63"/>
      <c r="AD41" s="63"/>
    </row>
    <row r="42" spans="1:30" ht="19.5" customHeight="1" x14ac:dyDescent="0.15">
      <c r="A42" s="351"/>
      <c r="B42" s="352"/>
      <c r="C42" s="84" t="s">
        <v>243</v>
      </c>
      <c r="D42" s="65"/>
      <c r="E42" s="134" t="s">
        <v>213</v>
      </c>
      <c r="F42" s="65"/>
      <c r="G42" s="393"/>
      <c r="H42" s="393"/>
      <c r="I42" s="97"/>
      <c r="J42" s="385">
        <f>IF(E42="Si",G42/E12,0)</f>
        <v>0</v>
      </c>
      <c r="K42" s="385"/>
      <c r="L42" s="385"/>
      <c r="M42" s="97"/>
      <c r="N42" s="107">
        <f>Inversión!I8</f>
        <v>102.50388333333332</v>
      </c>
      <c r="O42" s="352"/>
      <c r="P42" s="351"/>
      <c r="Q42" s="119" t="str">
        <f>IF(J42+1&lt;N42,"Menor que REF.","Mayor que REF.")</f>
        <v>Menor que REF.</v>
      </c>
      <c r="R42" s="127"/>
      <c r="S42" s="127"/>
      <c r="T42" s="135" t="s">
        <v>243</v>
      </c>
      <c r="U42" s="127"/>
      <c r="V42" s="136">
        <f>IF(E42="SI",G42,0)</f>
        <v>0</v>
      </c>
      <c r="W42" s="127"/>
      <c r="X42" s="127"/>
      <c r="Y42" s="63"/>
      <c r="Z42" s="63"/>
      <c r="AA42" s="63"/>
      <c r="AB42" s="63"/>
      <c r="AC42" s="63"/>
      <c r="AD42" s="63"/>
    </row>
    <row r="43" spans="1:30" ht="3" customHeight="1" x14ac:dyDescent="0.15">
      <c r="A43" s="351"/>
      <c r="B43" s="352"/>
      <c r="C43" s="87"/>
      <c r="D43" s="65"/>
      <c r="E43" s="97"/>
      <c r="F43" s="65"/>
      <c r="G43" s="65"/>
      <c r="H43" s="143"/>
      <c r="I43" s="97"/>
      <c r="J43" s="143"/>
      <c r="K43" s="81"/>
      <c r="L43" s="147"/>
      <c r="M43" s="97"/>
      <c r="N43" s="143"/>
      <c r="O43" s="352"/>
      <c r="P43" s="351"/>
      <c r="Q43" s="138"/>
      <c r="R43" s="127"/>
      <c r="S43" s="127"/>
      <c r="T43" s="146"/>
      <c r="U43" s="127"/>
      <c r="V43" s="139"/>
      <c r="W43" s="127"/>
      <c r="X43" s="127"/>
      <c r="Y43" s="63"/>
      <c r="Z43" s="63"/>
      <c r="AA43" s="63"/>
      <c r="AB43" s="63"/>
      <c r="AC43" s="63"/>
      <c r="AD43" s="63"/>
    </row>
    <row r="44" spans="1:30" ht="19.5" customHeight="1" x14ac:dyDescent="0.15">
      <c r="A44" s="351"/>
      <c r="B44" s="352"/>
      <c r="C44" s="84" t="s">
        <v>244</v>
      </c>
      <c r="D44" s="65"/>
      <c r="E44" s="134" t="s">
        <v>213</v>
      </c>
      <c r="F44" s="65"/>
      <c r="G44" s="393"/>
      <c r="H44" s="393"/>
      <c r="I44" s="97"/>
      <c r="J44" s="385">
        <f>IF(E44="Si",G44/E12,0)</f>
        <v>0</v>
      </c>
      <c r="K44" s="385"/>
      <c r="L44" s="385"/>
      <c r="M44" s="97"/>
      <c r="N44" s="107">
        <f>Inversión!I9</f>
        <v>175.02500000000001</v>
      </c>
      <c r="O44" s="352"/>
      <c r="P44" s="351"/>
      <c r="Q44" s="119" t="str">
        <f>IF(J44+1&lt;N44,"Menor que REF.","Mayor que REF.")</f>
        <v>Menor que REF.</v>
      </c>
      <c r="R44" s="127"/>
      <c r="S44" s="127"/>
      <c r="T44" s="135" t="s">
        <v>244</v>
      </c>
      <c r="U44" s="127"/>
      <c r="V44" s="136">
        <f>IF(E44="SI",G44,0)</f>
        <v>0</v>
      </c>
      <c r="W44" s="127"/>
      <c r="X44" s="127"/>
      <c r="Y44" s="63"/>
      <c r="Z44" s="63"/>
      <c r="AA44" s="63"/>
      <c r="AB44" s="63"/>
      <c r="AC44" s="63"/>
      <c r="AD44" s="63"/>
    </row>
    <row r="45" spans="1:30" ht="3" customHeight="1" x14ac:dyDescent="0.15">
      <c r="A45" s="148"/>
      <c r="B45" s="65"/>
      <c r="C45" s="87"/>
      <c r="D45" s="65"/>
      <c r="E45" s="97"/>
      <c r="F45" s="65"/>
      <c r="G45" s="65"/>
      <c r="H45" s="143"/>
      <c r="I45" s="126"/>
      <c r="J45" s="144"/>
      <c r="K45" s="81"/>
      <c r="L45" s="144"/>
      <c r="M45" s="97"/>
      <c r="N45" s="143"/>
      <c r="O45" s="65"/>
      <c r="P45" s="148"/>
      <c r="Q45" s="127"/>
      <c r="R45" s="127"/>
      <c r="S45" s="127"/>
      <c r="T45" s="146"/>
      <c r="U45" s="127"/>
      <c r="V45" s="139"/>
      <c r="W45" s="127"/>
      <c r="X45" s="127"/>
      <c r="Y45" s="63"/>
      <c r="Z45" s="63"/>
      <c r="AA45" s="63"/>
      <c r="AB45" s="63"/>
      <c r="AC45" s="63"/>
      <c r="AD45" s="63"/>
    </row>
    <row r="46" spans="1:30" ht="19.5" customHeight="1" x14ac:dyDescent="0.15">
      <c r="A46" s="351"/>
      <c r="B46" s="352"/>
      <c r="C46" s="149" t="s">
        <v>245</v>
      </c>
      <c r="D46" s="352"/>
      <c r="E46" s="134" t="s">
        <v>214</v>
      </c>
      <c r="F46" s="352"/>
      <c r="G46" s="394"/>
      <c r="H46" s="395"/>
      <c r="I46" s="126"/>
      <c r="J46" s="385">
        <f>IF(E46="Si",G46/E12,0)</f>
        <v>0</v>
      </c>
      <c r="K46" s="385"/>
      <c r="L46" s="385"/>
      <c r="M46" s="97"/>
      <c r="N46" s="396"/>
      <c r="O46" s="352"/>
      <c r="P46" s="351"/>
      <c r="Q46" s="127"/>
      <c r="R46" s="127"/>
      <c r="S46" s="127"/>
      <c r="T46" s="135" t="s">
        <v>245</v>
      </c>
      <c r="U46" s="127"/>
      <c r="V46" s="136">
        <f>IF(E46="SI",G46,0)</f>
        <v>0</v>
      </c>
      <c r="W46" s="127"/>
      <c r="X46" s="127"/>
      <c r="Y46" s="63"/>
      <c r="Z46" s="63"/>
      <c r="AA46" s="63"/>
      <c r="AB46" s="63"/>
      <c r="AC46" s="63"/>
      <c r="AD46" s="63"/>
    </row>
    <row r="47" spans="1:30" ht="3" customHeight="1" x14ac:dyDescent="0.15">
      <c r="A47" s="351"/>
      <c r="B47" s="352"/>
      <c r="C47" s="70"/>
      <c r="D47" s="352"/>
      <c r="E47" s="70"/>
      <c r="F47" s="352"/>
      <c r="G47" s="65"/>
      <c r="H47" s="106"/>
      <c r="I47" s="126"/>
      <c r="J47" s="106"/>
      <c r="K47" s="81"/>
      <c r="L47" s="106"/>
      <c r="M47" s="97"/>
      <c r="N47" s="396"/>
      <c r="O47" s="352"/>
      <c r="P47" s="351"/>
      <c r="Q47" s="127"/>
      <c r="R47" s="127"/>
      <c r="S47" s="127"/>
      <c r="T47" s="85"/>
      <c r="U47" s="127"/>
      <c r="V47" s="139"/>
      <c r="W47" s="127"/>
      <c r="X47" s="127"/>
      <c r="Y47" s="63"/>
      <c r="Z47" s="63"/>
      <c r="AA47" s="63"/>
      <c r="AB47" s="63"/>
      <c r="AC47" s="63"/>
      <c r="AD47" s="63"/>
    </row>
    <row r="48" spans="1:30" ht="18" customHeight="1" x14ac:dyDescent="0.15">
      <c r="A48" s="351"/>
      <c r="B48" s="352"/>
      <c r="C48" s="149" t="s">
        <v>246</v>
      </c>
      <c r="D48" s="352"/>
      <c r="E48" s="134" t="s">
        <v>214</v>
      </c>
      <c r="F48" s="352"/>
      <c r="G48" s="394"/>
      <c r="H48" s="395"/>
      <c r="I48" s="126"/>
      <c r="J48" s="385">
        <f>IF(E48="Si",G48/E12,0)</f>
        <v>0</v>
      </c>
      <c r="K48" s="385"/>
      <c r="L48" s="385"/>
      <c r="M48" s="97"/>
      <c r="N48" s="396"/>
      <c r="O48" s="352"/>
      <c r="P48" s="351"/>
      <c r="Q48" s="127"/>
      <c r="R48" s="127"/>
      <c r="S48" s="127"/>
      <c r="T48" s="150" t="s">
        <v>246</v>
      </c>
      <c r="U48" s="127"/>
      <c r="V48" s="151">
        <f>IF(E48="SI",G48,0)</f>
        <v>0</v>
      </c>
      <c r="W48" s="127"/>
      <c r="X48" s="127"/>
      <c r="Y48" s="63"/>
      <c r="Z48" s="63"/>
      <c r="AA48" s="63"/>
      <c r="AB48" s="63"/>
      <c r="AC48" s="63"/>
      <c r="AD48" s="63"/>
    </row>
    <row r="49" spans="1:30" ht="3" customHeight="1" x14ac:dyDescent="0.15">
      <c r="A49" s="351"/>
      <c r="B49" s="352"/>
      <c r="C49" s="87"/>
      <c r="D49" s="352"/>
      <c r="E49" s="97"/>
      <c r="F49" s="352"/>
      <c r="G49" s="65"/>
      <c r="H49" s="143"/>
      <c r="I49" s="126"/>
      <c r="J49" s="144"/>
      <c r="K49" s="81"/>
      <c r="L49" s="144"/>
      <c r="M49" s="97"/>
      <c r="N49" s="143"/>
      <c r="O49" s="352"/>
      <c r="P49" s="351"/>
      <c r="Q49" s="127"/>
      <c r="R49" s="127"/>
      <c r="S49" s="127"/>
      <c r="T49" s="127"/>
      <c r="U49" s="127"/>
      <c r="V49" s="127"/>
      <c r="W49" s="127"/>
      <c r="X49" s="127"/>
      <c r="Y49" s="63"/>
      <c r="Z49" s="63"/>
      <c r="AA49" s="63"/>
      <c r="AB49" s="63"/>
      <c r="AC49" s="63"/>
      <c r="AD49" s="63"/>
    </row>
    <row r="50" spans="1:30" ht="3" customHeight="1" x14ac:dyDescent="0.15">
      <c r="A50" s="148"/>
      <c r="B50" s="65"/>
      <c r="C50" s="70"/>
      <c r="D50" s="65"/>
      <c r="E50" s="70"/>
      <c r="F50" s="70"/>
      <c r="G50" s="70"/>
      <c r="H50" s="106"/>
      <c r="I50" s="126"/>
      <c r="J50" s="106"/>
      <c r="K50" s="81"/>
      <c r="L50" s="106"/>
      <c r="M50" s="97"/>
      <c r="N50" s="70"/>
      <c r="O50" s="65"/>
      <c r="P50" s="148"/>
      <c r="Q50" s="127"/>
      <c r="R50" s="127"/>
      <c r="S50" s="127"/>
      <c r="T50" s="85"/>
      <c r="U50" s="127"/>
      <c r="V50" s="152"/>
      <c r="W50" s="127"/>
      <c r="X50" s="127"/>
      <c r="Y50" s="63"/>
      <c r="Z50" s="63"/>
      <c r="AA50" s="63"/>
      <c r="AB50" s="63"/>
      <c r="AC50" s="63"/>
      <c r="AD50" s="63"/>
    </row>
    <row r="51" spans="1:30" ht="19.5" customHeight="1" x14ac:dyDescent="0.15">
      <c r="A51" s="351"/>
      <c r="B51" s="352"/>
      <c r="C51" s="130" t="s">
        <v>247</v>
      </c>
      <c r="D51" s="352"/>
      <c r="E51" s="391">
        <f>V53+V55+V57+V59+V61+V63+V65+V67+V69+V71+V73+V75+V77</f>
        <v>0</v>
      </c>
      <c r="F51" s="391"/>
      <c r="G51" s="391"/>
      <c r="H51" s="391"/>
      <c r="I51" s="126"/>
      <c r="J51" s="392">
        <f>J53+J55+J57+J59+J61+J63+J65+J67+J69+J71+J73+J75+J77</f>
        <v>0</v>
      </c>
      <c r="K51" s="392"/>
      <c r="L51" s="392"/>
      <c r="M51" s="97"/>
      <c r="N51" s="131">
        <f>N53+N55+N57+N59+N61+N63+N65+N67+(N69)+(N71)+N73+N75+N77</f>
        <v>10176.8351587</v>
      </c>
      <c r="O51" s="352"/>
      <c r="P51" s="351"/>
      <c r="Q51" s="127"/>
      <c r="R51" s="127"/>
      <c r="S51" s="127"/>
      <c r="T51" s="132" t="s">
        <v>247</v>
      </c>
      <c r="U51" s="127"/>
      <c r="V51" s="133">
        <f>E51</f>
        <v>0</v>
      </c>
      <c r="W51" s="127"/>
      <c r="X51" s="127"/>
      <c r="Y51" s="63"/>
      <c r="Z51" s="63"/>
      <c r="AA51" s="63"/>
      <c r="AB51" s="63"/>
      <c r="AC51" s="63"/>
      <c r="AD51" s="63"/>
    </row>
    <row r="52" spans="1:30" ht="3" customHeight="1" x14ac:dyDescent="0.15">
      <c r="A52" s="351"/>
      <c r="B52" s="352"/>
      <c r="C52" s="70"/>
      <c r="D52" s="352"/>
      <c r="E52" s="70"/>
      <c r="F52" s="70"/>
      <c r="G52" s="70"/>
      <c r="H52" s="106"/>
      <c r="I52" s="126"/>
      <c r="J52" s="106"/>
      <c r="K52" s="81"/>
      <c r="L52" s="106"/>
      <c r="M52" s="97"/>
      <c r="N52" s="70"/>
      <c r="O52" s="352"/>
      <c r="P52" s="351"/>
      <c r="Q52" s="127"/>
      <c r="R52" s="127"/>
      <c r="S52" s="127"/>
      <c r="T52" s="127"/>
      <c r="U52" s="127"/>
      <c r="V52" s="127"/>
      <c r="W52" s="127"/>
      <c r="X52" s="127"/>
      <c r="Y52" s="63"/>
      <c r="Z52" s="63"/>
      <c r="AA52" s="63"/>
      <c r="AB52" s="63"/>
      <c r="AC52" s="63"/>
      <c r="AD52" s="63"/>
    </row>
    <row r="53" spans="1:30" ht="19.5" customHeight="1" x14ac:dyDescent="0.15">
      <c r="A53" s="351"/>
      <c r="B53" s="352"/>
      <c r="C53" s="84" t="s">
        <v>248</v>
      </c>
      <c r="D53" s="352"/>
      <c r="E53" s="134" t="s">
        <v>213</v>
      </c>
      <c r="F53" s="153"/>
      <c r="G53" s="394"/>
      <c r="H53" s="395"/>
      <c r="I53" s="126"/>
      <c r="J53" s="385">
        <f>IF(E53="Si",G53/E12,0)</f>
        <v>0</v>
      </c>
      <c r="K53" s="385"/>
      <c r="L53" s="385"/>
      <c r="M53" s="97"/>
      <c r="N53" s="107">
        <f>COSTES!C14</f>
        <v>1103.1019999999999</v>
      </c>
      <c r="O53" s="352"/>
      <c r="P53" s="351"/>
      <c r="Q53" s="119" t="str">
        <f>IF(J53+1&lt;N53,"Menor que REF.","Mayor que REF.")</f>
        <v>Menor que REF.</v>
      </c>
      <c r="R53" s="127"/>
      <c r="S53" s="127"/>
      <c r="T53" s="135" t="s">
        <v>248</v>
      </c>
      <c r="U53" s="127"/>
      <c r="V53" s="136">
        <f>IF(E53="SI",G53,0)</f>
        <v>0</v>
      </c>
      <c r="W53" s="127"/>
      <c r="X53" s="127"/>
      <c r="Y53" s="63"/>
      <c r="Z53" s="63"/>
      <c r="AA53" s="63"/>
      <c r="AB53" s="63"/>
      <c r="AC53" s="63"/>
      <c r="AD53" s="63"/>
    </row>
    <row r="54" spans="1:30" ht="3" customHeight="1" x14ac:dyDescent="0.15">
      <c r="A54" s="351"/>
      <c r="B54" s="352"/>
      <c r="C54" s="70"/>
      <c r="D54" s="352"/>
      <c r="E54" s="70"/>
      <c r="F54" s="153"/>
      <c r="G54" s="154"/>
      <c r="H54" s="110"/>
      <c r="I54" s="126"/>
      <c r="J54" s="155"/>
      <c r="K54" s="81"/>
      <c r="L54" s="106"/>
      <c r="M54" s="97"/>
      <c r="N54" s="70"/>
      <c r="O54" s="352"/>
      <c r="P54" s="351"/>
      <c r="Q54" s="138"/>
      <c r="R54" s="127"/>
      <c r="S54" s="127"/>
      <c r="T54" s="85"/>
      <c r="U54" s="127"/>
      <c r="V54" s="139"/>
      <c r="W54" s="127"/>
      <c r="X54" s="127"/>
      <c r="Y54" s="63"/>
      <c r="Z54" s="63"/>
      <c r="AA54" s="63"/>
      <c r="AB54" s="63"/>
      <c r="AC54" s="63"/>
      <c r="AD54" s="63"/>
    </row>
    <row r="55" spans="1:30" ht="19.5" customHeight="1" x14ac:dyDescent="0.15">
      <c r="A55" s="351"/>
      <c r="B55" s="352"/>
      <c r="C55" s="84" t="s">
        <v>249</v>
      </c>
      <c r="D55" s="352"/>
      <c r="E55" s="134" t="s">
        <v>213</v>
      </c>
      <c r="F55" s="153"/>
      <c r="G55" s="394"/>
      <c r="H55" s="395"/>
      <c r="I55" s="126"/>
      <c r="J55" s="385">
        <f>IF(E55="Si",G55/E12,0)</f>
        <v>0</v>
      </c>
      <c r="K55" s="385"/>
      <c r="L55" s="385"/>
      <c r="M55" s="97"/>
      <c r="N55" s="107">
        <f>COSTES!C15</f>
        <v>797.18100000000004</v>
      </c>
      <c r="O55" s="352"/>
      <c r="P55" s="351"/>
      <c r="Q55" s="119" t="str">
        <f>IF(J55+1&lt;N55,"Menor que REF.","Mayor que REF.")</f>
        <v>Menor que REF.</v>
      </c>
      <c r="R55" s="127"/>
      <c r="S55" s="127"/>
      <c r="T55" s="135" t="s">
        <v>249</v>
      </c>
      <c r="U55" s="127"/>
      <c r="V55" s="136">
        <f>IF(E55="SI",G55,0)</f>
        <v>0</v>
      </c>
      <c r="W55" s="127"/>
      <c r="X55" s="127"/>
      <c r="Y55" s="63"/>
      <c r="Z55" s="63"/>
      <c r="AA55" s="63"/>
      <c r="AB55" s="63"/>
      <c r="AC55" s="63"/>
      <c r="AD55" s="63"/>
    </row>
    <row r="56" spans="1:30" ht="3" customHeight="1" x14ac:dyDescent="0.15">
      <c r="A56" s="351"/>
      <c r="B56" s="352"/>
      <c r="C56" s="70"/>
      <c r="D56" s="352"/>
      <c r="E56" s="70"/>
      <c r="F56" s="153"/>
      <c r="G56" s="154"/>
      <c r="H56" s="110"/>
      <c r="I56" s="126"/>
      <c r="J56" s="155"/>
      <c r="K56" s="81"/>
      <c r="L56" s="106"/>
      <c r="M56" s="97"/>
      <c r="N56" s="70"/>
      <c r="O56" s="352"/>
      <c r="P56" s="351"/>
      <c r="Q56" s="138"/>
      <c r="R56" s="127"/>
      <c r="S56" s="127"/>
      <c r="T56" s="85"/>
      <c r="U56" s="127"/>
      <c r="V56" s="139"/>
      <c r="W56" s="127"/>
      <c r="X56" s="127"/>
      <c r="Y56" s="63"/>
      <c r="Z56" s="63"/>
      <c r="AA56" s="63"/>
      <c r="AB56" s="63"/>
      <c r="AC56" s="63"/>
      <c r="AD56" s="63"/>
    </row>
    <row r="57" spans="1:30" ht="19.5" customHeight="1" x14ac:dyDescent="0.15">
      <c r="A57" s="351"/>
      <c r="B57" s="352"/>
      <c r="C57" s="84" t="s">
        <v>250</v>
      </c>
      <c r="D57" s="352"/>
      <c r="E57" s="134" t="s">
        <v>213</v>
      </c>
      <c r="F57" s="153"/>
      <c r="G57" s="394"/>
      <c r="H57" s="395"/>
      <c r="I57" s="126"/>
      <c r="J57" s="385">
        <f>IF(E57="Si",G57/E12,0)</f>
        <v>0</v>
      </c>
      <c r="K57" s="385"/>
      <c r="L57" s="385"/>
      <c r="M57" s="97"/>
      <c r="N57" s="107">
        <f>COSTES!C16</f>
        <v>463.98187499999995</v>
      </c>
      <c r="O57" s="352"/>
      <c r="P57" s="351"/>
      <c r="Q57" s="119" t="str">
        <f>IF(J57+1&lt;N57,"Menor que REF.","Mayor que REF.")</f>
        <v>Menor que REF.</v>
      </c>
      <c r="R57" s="127"/>
      <c r="S57" s="127"/>
      <c r="T57" s="135" t="s">
        <v>250</v>
      </c>
      <c r="U57" s="127"/>
      <c r="V57" s="136">
        <f>IF(E57="SI",G57,0)</f>
        <v>0</v>
      </c>
      <c r="W57" s="127"/>
      <c r="X57" s="127"/>
      <c r="Y57" s="63"/>
      <c r="Z57" s="63"/>
      <c r="AA57" s="63"/>
      <c r="AB57" s="63"/>
      <c r="AC57" s="63"/>
      <c r="AD57" s="63"/>
    </row>
    <row r="58" spans="1:30" ht="3" customHeight="1" x14ac:dyDescent="0.15">
      <c r="A58" s="351"/>
      <c r="B58" s="352"/>
      <c r="C58" s="70"/>
      <c r="D58" s="352"/>
      <c r="E58" s="70"/>
      <c r="F58" s="153"/>
      <c r="G58" s="154"/>
      <c r="H58" s="110"/>
      <c r="I58" s="126"/>
      <c r="J58" s="155"/>
      <c r="K58" s="81"/>
      <c r="L58" s="106"/>
      <c r="M58" s="97"/>
      <c r="N58" s="70"/>
      <c r="O58" s="352"/>
      <c r="P58" s="351"/>
      <c r="Q58" s="138"/>
      <c r="R58" s="127"/>
      <c r="S58" s="127"/>
      <c r="T58" s="85"/>
      <c r="U58" s="127"/>
      <c r="V58" s="139"/>
      <c r="W58" s="127"/>
      <c r="X58" s="127"/>
      <c r="Y58" s="63"/>
      <c r="Z58" s="63"/>
      <c r="AA58" s="63"/>
      <c r="AB58" s="63"/>
      <c r="AC58" s="63"/>
      <c r="AD58" s="63"/>
    </row>
    <row r="59" spans="1:30" ht="19.5" customHeight="1" x14ac:dyDescent="0.15">
      <c r="A59" s="351"/>
      <c r="B59" s="352"/>
      <c r="C59" s="84" t="s">
        <v>190</v>
      </c>
      <c r="D59" s="352"/>
      <c r="E59" s="134" t="s">
        <v>213</v>
      </c>
      <c r="F59" s="153"/>
      <c r="G59" s="394"/>
      <c r="H59" s="395"/>
      <c r="I59" s="126"/>
      <c r="J59" s="385">
        <f>IF(E59="Si",G59/E12,0)</f>
        <v>0</v>
      </c>
      <c r="K59" s="385"/>
      <c r="L59" s="385"/>
      <c r="M59" s="97"/>
      <c r="N59" s="107">
        <f>COSTES!C17</f>
        <v>217.71749999999997</v>
      </c>
      <c r="O59" s="352"/>
      <c r="P59" s="351"/>
      <c r="Q59" s="119" t="str">
        <f>IF(J59+1&lt;N59,"Menor que REF.","Mayor que REF.")</f>
        <v>Menor que REF.</v>
      </c>
      <c r="R59" s="127"/>
      <c r="S59" s="127"/>
      <c r="T59" s="135" t="s">
        <v>190</v>
      </c>
      <c r="U59" s="127"/>
      <c r="V59" s="136">
        <f>IF(E59="SI",G59,0)</f>
        <v>0</v>
      </c>
      <c r="W59" s="127"/>
      <c r="X59" s="127"/>
      <c r="Y59" s="63"/>
      <c r="Z59" s="63"/>
      <c r="AA59" s="63"/>
      <c r="AB59" s="63"/>
      <c r="AC59" s="63"/>
      <c r="AD59" s="63"/>
    </row>
    <row r="60" spans="1:30" ht="3" customHeight="1" x14ac:dyDescent="0.15">
      <c r="A60" s="351"/>
      <c r="B60" s="352"/>
      <c r="C60" s="70"/>
      <c r="D60" s="352"/>
      <c r="E60" s="70"/>
      <c r="F60" s="153"/>
      <c r="G60" s="154"/>
      <c r="H60" s="110"/>
      <c r="I60" s="126"/>
      <c r="J60" s="155"/>
      <c r="K60" s="81"/>
      <c r="L60" s="106"/>
      <c r="M60" s="97"/>
      <c r="N60" s="70"/>
      <c r="O60" s="352"/>
      <c r="P60" s="351"/>
      <c r="Q60" s="138"/>
      <c r="R60" s="127"/>
      <c r="S60" s="127"/>
      <c r="T60" s="85"/>
      <c r="U60" s="127"/>
      <c r="V60" s="139"/>
      <c r="W60" s="127"/>
      <c r="X60" s="127"/>
      <c r="Y60" s="63"/>
      <c r="Z60" s="63"/>
      <c r="AA60" s="63"/>
      <c r="AB60" s="63"/>
      <c r="AC60" s="63"/>
      <c r="AD60" s="63"/>
    </row>
    <row r="61" spans="1:30" ht="19.5" customHeight="1" x14ac:dyDescent="0.15">
      <c r="A61" s="351"/>
      <c r="B61" s="352"/>
      <c r="C61" s="84" t="s">
        <v>251</v>
      </c>
      <c r="D61" s="352"/>
      <c r="E61" s="134" t="s">
        <v>213</v>
      </c>
      <c r="F61" s="153"/>
      <c r="G61" s="393"/>
      <c r="H61" s="393"/>
      <c r="I61" s="126"/>
      <c r="J61" s="385">
        <f>IF(E61="Si",G61/E12,0)</f>
        <v>0</v>
      </c>
      <c r="K61" s="385"/>
      <c r="L61" s="385"/>
      <c r="M61" s="97"/>
      <c r="N61" s="107">
        <f>COSTES!C18</f>
        <v>2352.9628499999999</v>
      </c>
      <c r="O61" s="352"/>
      <c r="P61" s="351"/>
      <c r="Q61" s="119" t="str">
        <f>IF(J61+1&lt;N61,"Menor que REF.","Mayor que REF.")</f>
        <v>Menor que REF.</v>
      </c>
      <c r="R61" s="127"/>
      <c r="S61" s="127"/>
      <c r="T61" s="135" t="s">
        <v>251</v>
      </c>
      <c r="U61" s="127"/>
      <c r="V61" s="136">
        <f>IF(E61="SI",G61,0)</f>
        <v>0</v>
      </c>
      <c r="W61" s="127"/>
      <c r="X61" s="127"/>
      <c r="Y61" s="63"/>
      <c r="Z61" s="63"/>
      <c r="AA61" s="63"/>
      <c r="AB61" s="63"/>
      <c r="AC61" s="63"/>
      <c r="AD61" s="63"/>
    </row>
    <row r="62" spans="1:30" ht="3" customHeight="1" x14ac:dyDescent="0.15">
      <c r="A62" s="351"/>
      <c r="B62" s="352"/>
      <c r="C62" s="70"/>
      <c r="D62" s="352"/>
      <c r="E62" s="70"/>
      <c r="F62" s="153"/>
      <c r="G62" s="154"/>
      <c r="H62" s="110"/>
      <c r="I62" s="126"/>
      <c r="J62" s="155"/>
      <c r="K62" s="81"/>
      <c r="L62" s="106"/>
      <c r="M62" s="97"/>
      <c r="N62" s="70"/>
      <c r="O62" s="352"/>
      <c r="P62" s="351"/>
      <c r="Q62" s="138"/>
      <c r="R62" s="127"/>
      <c r="S62" s="127"/>
      <c r="T62" s="85"/>
      <c r="U62" s="127"/>
      <c r="V62" s="139"/>
      <c r="W62" s="127"/>
      <c r="X62" s="127"/>
      <c r="Y62" s="63"/>
      <c r="Z62" s="63"/>
      <c r="AA62" s="63"/>
      <c r="AB62" s="63"/>
      <c r="AC62" s="63"/>
      <c r="AD62" s="63"/>
    </row>
    <row r="63" spans="1:30" ht="19.5" customHeight="1" x14ac:dyDescent="0.15">
      <c r="A63" s="351"/>
      <c r="B63" s="352"/>
      <c r="C63" s="84" t="s">
        <v>258</v>
      </c>
      <c r="D63" s="352"/>
      <c r="E63" s="134" t="s">
        <v>213</v>
      </c>
      <c r="F63" s="153"/>
      <c r="G63" s="393"/>
      <c r="H63" s="393"/>
      <c r="I63" s="126"/>
      <c r="J63" s="385">
        <f>IF(E63="Si",G63/E12,0)</f>
        <v>0</v>
      </c>
      <c r="K63" s="385"/>
      <c r="L63" s="385"/>
      <c r="M63" s="97"/>
      <c r="N63" s="107">
        <f>COSTES!C19</f>
        <v>675.48249999999996</v>
      </c>
      <c r="O63" s="352"/>
      <c r="P63" s="351"/>
      <c r="Q63" s="119" t="str">
        <f>IF(J63+1&lt;N63,"Menor que REF.","Mayor que REF.")</f>
        <v>Menor que REF.</v>
      </c>
      <c r="R63" s="127"/>
      <c r="S63" s="127"/>
      <c r="T63" s="135" t="s">
        <v>258</v>
      </c>
      <c r="U63" s="127"/>
      <c r="V63" s="136">
        <f>IF(E63="SI",G63,0)</f>
        <v>0</v>
      </c>
      <c r="W63" s="127"/>
      <c r="X63" s="127"/>
      <c r="Y63" s="63"/>
      <c r="Z63" s="63"/>
      <c r="AA63" s="63"/>
      <c r="AB63" s="63"/>
      <c r="AC63" s="63"/>
      <c r="AD63" s="63"/>
    </row>
    <row r="64" spans="1:30" ht="3" customHeight="1" x14ac:dyDescent="0.15">
      <c r="A64" s="351"/>
      <c r="B64" s="352"/>
      <c r="C64" s="70"/>
      <c r="D64" s="352"/>
      <c r="E64" s="70"/>
      <c r="F64" s="153"/>
      <c r="G64" s="154"/>
      <c r="H64" s="110"/>
      <c r="I64" s="126"/>
      <c r="J64" s="155"/>
      <c r="K64" s="81"/>
      <c r="L64" s="106"/>
      <c r="M64" s="97"/>
      <c r="N64" s="70"/>
      <c r="O64" s="352"/>
      <c r="P64" s="351"/>
      <c r="Q64" s="138"/>
      <c r="R64" s="127"/>
      <c r="S64" s="127"/>
      <c r="T64" s="85"/>
      <c r="U64" s="127"/>
      <c r="V64" s="139"/>
      <c r="W64" s="127"/>
      <c r="X64" s="127"/>
      <c r="Y64" s="63"/>
      <c r="Z64" s="63"/>
      <c r="AA64" s="63"/>
      <c r="AB64" s="63"/>
      <c r="AC64" s="63"/>
      <c r="AD64" s="63"/>
    </row>
    <row r="65" spans="1:30" ht="19.5" customHeight="1" x14ac:dyDescent="0.15">
      <c r="A65" s="351"/>
      <c r="B65" s="352"/>
      <c r="C65" s="84" t="s">
        <v>252</v>
      </c>
      <c r="D65" s="352"/>
      <c r="E65" s="134" t="s">
        <v>213</v>
      </c>
      <c r="F65" s="153"/>
      <c r="G65" s="393"/>
      <c r="H65" s="393"/>
      <c r="I65" s="126"/>
      <c r="J65" s="385">
        <f>IF(E65="Si",G65/E12,0)</f>
        <v>0</v>
      </c>
      <c r="K65" s="385"/>
      <c r="L65" s="385"/>
      <c r="M65" s="97"/>
      <c r="N65" s="107">
        <f>COSTES!C20</f>
        <v>111.44090999999999</v>
      </c>
      <c r="O65" s="352"/>
      <c r="P65" s="351"/>
      <c r="Q65" s="119" t="str">
        <f>IF(J65+1&lt;N65,"Menor que REF.","Mayor que REF.")</f>
        <v>Menor que REF.</v>
      </c>
      <c r="R65" s="127"/>
      <c r="S65" s="127"/>
      <c r="T65" s="135" t="s">
        <v>252</v>
      </c>
      <c r="U65" s="127"/>
      <c r="V65" s="136">
        <f>IF(E65="SI",G65,0)</f>
        <v>0</v>
      </c>
      <c r="W65" s="127"/>
      <c r="X65" s="127"/>
      <c r="Y65" s="63"/>
      <c r="Z65" s="63"/>
      <c r="AA65" s="63"/>
      <c r="AB65" s="63"/>
      <c r="AC65" s="63"/>
      <c r="AD65" s="63"/>
    </row>
    <row r="66" spans="1:30" ht="3" customHeight="1" x14ac:dyDescent="0.15">
      <c r="A66" s="351"/>
      <c r="B66" s="352"/>
      <c r="C66" s="70"/>
      <c r="D66" s="352"/>
      <c r="E66" s="70"/>
      <c r="F66" s="153"/>
      <c r="G66" s="154"/>
      <c r="H66" s="110"/>
      <c r="I66" s="126"/>
      <c r="J66" s="155"/>
      <c r="K66" s="81"/>
      <c r="L66" s="106"/>
      <c r="M66" s="97"/>
      <c r="N66" s="70"/>
      <c r="O66" s="352"/>
      <c r="P66" s="351"/>
      <c r="Q66" s="127"/>
      <c r="R66" s="127"/>
      <c r="S66" s="127"/>
      <c r="T66" s="85"/>
      <c r="U66" s="127"/>
      <c r="V66" s="139"/>
      <c r="W66" s="127"/>
      <c r="X66" s="127"/>
      <c r="Y66" s="63"/>
      <c r="Z66" s="63"/>
      <c r="AA66" s="63"/>
      <c r="AB66" s="63"/>
      <c r="AC66" s="63"/>
      <c r="AD66" s="63"/>
    </row>
    <row r="67" spans="1:30" ht="19.5" customHeight="1" x14ac:dyDescent="0.15">
      <c r="A67" s="351"/>
      <c r="B67" s="352"/>
      <c r="C67" s="84" t="s">
        <v>253</v>
      </c>
      <c r="D67" s="352"/>
      <c r="E67" s="134" t="s">
        <v>214</v>
      </c>
      <c r="F67" s="153"/>
      <c r="G67" s="393"/>
      <c r="H67" s="393"/>
      <c r="I67" s="126"/>
      <c r="J67" s="385">
        <f>IF(E67="Si",G67/E12,0)</f>
        <v>0</v>
      </c>
      <c r="K67" s="385"/>
      <c r="L67" s="385"/>
      <c r="M67" s="97"/>
      <c r="N67" s="107">
        <f>COSTES!C21</f>
        <v>0</v>
      </c>
      <c r="O67" s="352"/>
      <c r="P67" s="351"/>
      <c r="Q67" s="119" t="str">
        <f>IF(J67+1&lt;N67,"Menor que REF.","Mayor que REF.")</f>
        <v>Mayor que REF.</v>
      </c>
      <c r="R67" s="127"/>
      <c r="S67" s="127"/>
      <c r="T67" s="135" t="s">
        <v>253</v>
      </c>
      <c r="U67" s="127"/>
      <c r="V67" s="136">
        <f>IF(E67="SI",G67,0)</f>
        <v>0</v>
      </c>
      <c r="W67" s="127"/>
      <c r="X67" s="127"/>
      <c r="Y67" s="63"/>
      <c r="Z67" s="63"/>
      <c r="AA67" s="63"/>
      <c r="AB67" s="63"/>
      <c r="AC67" s="63"/>
      <c r="AD67" s="63"/>
    </row>
    <row r="68" spans="1:30" ht="3" customHeight="1" x14ac:dyDescent="0.15">
      <c r="A68" s="351"/>
      <c r="B68" s="352"/>
      <c r="C68" s="70"/>
      <c r="D68" s="352"/>
      <c r="E68" s="70"/>
      <c r="F68" s="153"/>
      <c r="G68" s="154"/>
      <c r="H68" s="110"/>
      <c r="I68" s="126"/>
      <c r="J68" s="155"/>
      <c r="K68" s="81"/>
      <c r="L68" s="106"/>
      <c r="M68" s="97"/>
      <c r="N68" s="70"/>
      <c r="O68" s="352"/>
      <c r="P68" s="351"/>
      <c r="Q68" s="138"/>
      <c r="R68" s="127"/>
      <c r="S68" s="127"/>
      <c r="T68" s="85"/>
      <c r="U68" s="127"/>
      <c r="V68" s="139"/>
      <c r="W68" s="127"/>
      <c r="X68" s="127"/>
      <c r="Y68" s="63"/>
      <c r="Z68" s="63"/>
      <c r="AA68" s="63"/>
      <c r="AB68" s="63"/>
      <c r="AC68" s="63"/>
      <c r="AD68" s="63"/>
    </row>
    <row r="69" spans="1:30" ht="19.5" customHeight="1" x14ac:dyDescent="0.15">
      <c r="A69" s="351"/>
      <c r="B69" s="352"/>
      <c r="C69" s="84" t="s">
        <v>254</v>
      </c>
      <c r="D69" s="352"/>
      <c r="E69" s="134" t="s">
        <v>213</v>
      </c>
      <c r="F69" s="153"/>
      <c r="G69" s="393"/>
      <c r="H69" s="393"/>
      <c r="I69" s="126"/>
      <c r="J69" s="385">
        <f>IF(E69="Si",G69/E12,0)</f>
        <v>0</v>
      </c>
      <c r="K69" s="385"/>
      <c r="L69" s="385"/>
      <c r="M69" s="97"/>
      <c r="N69" s="107">
        <f>COSTES!C22</f>
        <v>212.26652370000008</v>
      </c>
      <c r="O69" s="352"/>
      <c r="P69" s="351"/>
      <c r="Q69" s="119" t="str">
        <f>IF(J69+1&lt;N69,"Menor que REF.","Mayor que REF.")</f>
        <v>Menor que REF.</v>
      </c>
      <c r="R69" s="127"/>
      <c r="S69" s="127"/>
      <c r="T69" s="135" t="s">
        <v>254</v>
      </c>
      <c r="U69" s="127"/>
      <c r="V69" s="136">
        <f>IF(E69="SI",G69,0)</f>
        <v>0</v>
      </c>
      <c r="W69" s="127"/>
      <c r="X69" s="127"/>
      <c r="Y69" s="63"/>
      <c r="Z69" s="63"/>
      <c r="AA69" s="63"/>
      <c r="AB69" s="63"/>
      <c r="AC69" s="63"/>
      <c r="AD69" s="63"/>
    </row>
    <row r="70" spans="1:30" ht="3" customHeight="1" x14ac:dyDescent="0.15">
      <c r="A70" s="351"/>
      <c r="B70" s="352"/>
      <c r="C70" s="70"/>
      <c r="D70" s="352"/>
      <c r="E70" s="70"/>
      <c r="F70" s="153"/>
      <c r="G70" s="154"/>
      <c r="H70" s="110"/>
      <c r="I70" s="126"/>
      <c r="J70" s="155"/>
      <c r="K70" s="81"/>
      <c r="L70" s="106"/>
      <c r="M70" s="97"/>
      <c r="N70" s="70"/>
      <c r="O70" s="352"/>
      <c r="P70" s="351"/>
      <c r="Q70" s="138"/>
      <c r="R70" s="127"/>
      <c r="S70" s="127"/>
      <c r="T70" s="85"/>
      <c r="U70" s="127"/>
      <c r="V70" s="139"/>
      <c r="W70" s="127"/>
      <c r="X70" s="127"/>
      <c r="Y70" s="63"/>
      <c r="Z70" s="63"/>
      <c r="AA70" s="63"/>
      <c r="AB70" s="63"/>
      <c r="AC70" s="63"/>
      <c r="AD70" s="63"/>
    </row>
    <row r="71" spans="1:30" ht="19.5" customHeight="1" x14ac:dyDescent="0.15">
      <c r="A71" s="351"/>
      <c r="B71" s="352"/>
      <c r="C71" s="84" t="s">
        <v>255</v>
      </c>
      <c r="D71" s="352"/>
      <c r="E71" s="397">
        <f>E26</f>
        <v>0</v>
      </c>
      <c r="F71" s="397"/>
      <c r="G71" s="397"/>
      <c r="H71" s="397"/>
      <c r="I71" s="126"/>
      <c r="J71" s="385">
        <f>E71/E12</f>
        <v>0</v>
      </c>
      <c r="K71" s="385"/>
      <c r="L71" s="385"/>
      <c r="M71" s="97"/>
      <c r="N71" s="107">
        <f>costes0!D22</f>
        <v>2024.9249999999995</v>
      </c>
      <c r="O71" s="352"/>
      <c r="P71" s="351"/>
      <c r="Q71" s="119" t="str">
        <f>IF(J71+1&lt;N71,"Menor que REF.","Mayor que REF.")</f>
        <v>Menor que REF.</v>
      </c>
      <c r="R71" s="127"/>
      <c r="S71" s="127"/>
      <c r="T71" s="135" t="s">
        <v>236</v>
      </c>
      <c r="U71" s="127"/>
      <c r="V71" s="136">
        <f>E26</f>
        <v>0</v>
      </c>
      <c r="W71" s="127"/>
      <c r="X71" s="127"/>
      <c r="Y71" s="63"/>
      <c r="Z71" s="63"/>
      <c r="AA71" s="63"/>
      <c r="AB71" s="63"/>
      <c r="AC71" s="63"/>
      <c r="AD71" s="63"/>
    </row>
    <row r="72" spans="1:30" ht="3" customHeight="1" x14ac:dyDescent="0.15">
      <c r="A72" s="351"/>
      <c r="B72" s="352"/>
      <c r="C72" s="87"/>
      <c r="D72" s="352"/>
      <c r="E72" s="97"/>
      <c r="F72" s="153"/>
      <c r="G72" s="154"/>
      <c r="H72" s="156"/>
      <c r="I72" s="126"/>
      <c r="J72" s="157"/>
      <c r="K72" s="81"/>
      <c r="L72" s="144"/>
      <c r="M72" s="97"/>
      <c r="N72" s="158"/>
      <c r="O72" s="352"/>
      <c r="P72" s="351"/>
      <c r="Q72" s="138"/>
      <c r="R72" s="127"/>
      <c r="S72" s="127"/>
      <c r="T72" s="146"/>
      <c r="U72" s="127"/>
      <c r="V72" s="139"/>
      <c r="W72" s="127"/>
      <c r="X72" s="127"/>
      <c r="Y72" s="63"/>
      <c r="Z72" s="63"/>
      <c r="AA72" s="63"/>
      <c r="AB72" s="63"/>
      <c r="AC72" s="63"/>
      <c r="AD72" s="63"/>
    </row>
    <row r="73" spans="1:30" ht="19.5" customHeight="1" x14ac:dyDescent="0.15">
      <c r="A73" s="351"/>
      <c r="B73" s="352"/>
      <c r="C73" s="84" t="s">
        <v>256</v>
      </c>
      <c r="D73" s="352"/>
      <c r="E73" s="134" t="s">
        <v>213</v>
      </c>
      <c r="F73" s="153"/>
      <c r="G73" s="393"/>
      <c r="H73" s="393"/>
      <c r="I73" s="126"/>
      <c r="J73" s="385">
        <f>IF(E73="Si",G73/E12,0)</f>
        <v>0</v>
      </c>
      <c r="K73" s="385"/>
      <c r="L73" s="385"/>
      <c r="M73" s="97"/>
      <c r="N73" s="107">
        <f>COSTES!C25</f>
        <v>2217.7749999999996</v>
      </c>
      <c r="O73" s="352"/>
      <c r="P73" s="351"/>
      <c r="Q73" s="119" t="str">
        <f>IF(J73+1&lt;N73,"Menor que REF.","Mayor que REF.")</f>
        <v>Menor que REF.</v>
      </c>
      <c r="R73" s="127"/>
      <c r="S73" s="127"/>
      <c r="T73" s="135" t="s">
        <v>256</v>
      </c>
      <c r="U73" s="127"/>
      <c r="V73" s="136">
        <f>IF(E73="SI",G73,0)</f>
        <v>0</v>
      </c>
      <c r="W73" s="127"/>
      <c r="X73" s="127"/>
      <c r="Y73" s="63"/>
      <c r="Z73" s="63"/>
      <c r="AA73" s="63"/>
      <c r="AB73" s="63"/>
      <c r="AC73" s="63"/>
      <c r="AD73" s="63"/>
    </row>
    <row r="74" spans="1:30" ht="3" customHeight="1" x14ac:dyDescent="0.15">
      <c r="A74" s="159"/>
      <c r="B74" s="65"/>
      <c r="C74" s="63"/>
      <c r="D74" s="65"/>
      <c r="E74" s="70"/>
      <c r="F74" s="153"/>
      <c r="G74" s="153"/>
      <c r="H74" s="106"/>
      <c r="I74" s="126"/>
      <c r="J74" s="106"/>
      <c r="K74" s="81"/>
      <c r="L74" s="106"/>
      <c r="M74" s="97"/>
      <c r="N74" s="70"/>
      <c r="O74" s="65"/>
      <c r="P74" s="159"/>
      <c r="Q74" s="138"/>
      <c r="R74" s="127"/>
      <c r="S74" s="127"/>
      <c r="T74" s="127"/>
      <c r="U74" s="127"/>
      <c r="V74" s="139"/>
      <c r="W74" s="127"/>
      <c r="X74" s="127"/>
      <c r="Y74" s="63"/>
      <c r="Z74" s="63"/>
      <c r="AA74" s="63"/>
      <c r="AB74" s="63"/>
      <c r="AC74" s="63"/>
      <c r="AD74" s="63"/>
    </row>
    <row r="75" spans="1:30" ht="19.5" customHeight="1" x14ac:dyDescent="0.15">
      <c r="A75" s="351"/>
      <c r="B75" s="352"/>
      <c r="C75" s="149" t="s">
        <v>245</v>
      </c>
      <c r="D75" s="352"/>
      <c r="E75" s="134" t="s">
        <v>214</v>
      </c>
      <c r="F75" s="153"/>
      <c r="G75" s="393"/>
      <c r="H75" s="393"/>
      <c r="I75" s="126"/>
      <c r="J75" s="385">
        <f>IF(E75="Si",G75/E12,0)</f>
        <v>0</v>
      </c>
      <c r="K75" s="385"/>
      <c r="L75" s="385"/>
      <c r="M75" s="97"/>
      <c r="N75" s="396"/>
      <c r="O75" s="352"/>
      <c r="P75" s="351"/>
      <c r="Q75" s="160"/>
      <c r="R75" s="127"/>
      <c r="S75" s="127"/>
      <c r="T75" s="135" t="s">
        <v>245</v>
      </c>
      <c r="U75" s="85"/>
      <c r="V75" s="136">
        <f>IF(E75="SI",G75,0)</f>
        <v>0</v>
      </c>
      <c r="W75" s="85"/>
      <c r="X75" s="85"/>
      <c r="Y75" s="63"/>
      <c r="Z75" s="63"/>
      <c r="AA75" s="63"/>
      <c r="AB75" s="63"/>
      <c r="AC75" s="63"/>
      <c r="AD75" s="63"/>
    </row>
    <row r="76" spans="1:30" ht="3" customHeight="1" x14ac:dyDescent="0.15">
      <c r="A76" s="351"/>
      <c r="B76" s="352"/>
      <c r="C76" s="63"/>
      <c r="D76" s="352"/>
      <c r="E76" s="63"/>
      <c r="F76" s="153"/>
      <c r="G76" s="153"/>
      <c r="H76" s="63"/>
      <c r="I76" s="126"/>
      <c r="J76" s="63"/>
      <c r="K76" s="81"/>
      <c r="L76" s="63"/>
      <c r="M76" s="97"/>
      <c r="N76" s="396"/>
      <c r="O76" s="352"/>
      <c r="P76" s="351"/>
      <c r="Q76" s="138"/>
      <c r="R76" s="127"/>
      <c r="S76" s="127"/>
      <c r="T76" s="127"/>
      <c r="U76" s="85"/>
      <c r="V76" s="139"/>
      <c r="W76" s="85"/>
      <c r="X76" s="85"/>
      <c r="Y76" s="63"/>
      <c r="Z76" s="63"/>
      <c r="AA76" s="63"/>
      <c r="AB76" s="63"/>
      <c r="AC76" s="63"/>
      <c r="AD76" s="63"/>
    </row>
    <row r="77" spans="1:30" ht="19.5" customHeight="1" x14ac:dyDescent="0.15">
      <c r="A77" s="351"/>
      <c r="B77" s="352"/>
      <c r="C77" s="149" t="s">
        <v>246</v>
      </c>
      <c r="D77" s="352"/>
      <c r="E77" s="134" t="s">
        <v>214</v>
      </c>
      <c r="F77" s="153"/>
      <c r="G77" s="393"/>
      <c r="H77" s="393"/>
      <c r="I77" s="126"/>
      <c r="J77" s="385">
        <f>IF(E77="Si",G77/E12,0)</f>
        <v>0</v>
      </c>
      <c r="K77" s="385"/>
      <c r="L77" s="385"/>
      <c r="M77" s="97"/>
      <c r="N77" s="396"/>
      <c r="O77" s="352"/>
      <c r="P77" s="351"/>
      <c r="Q77" s="160"/>
      <c r="R77" s="127"/>
      <c r="S77" s="127"/>
      <c r="T77" s="135" t="s">
        <v>246</v>
      </c>
      <c r="U77" s="85"/>
      <c r="V77" s="136">
        <f>IF(E77="SI",G77,0)</f>
        <v>0</v>
      </c>
      <c r="W77" s="85"/>
      <c r="X77" s="85"/>
      <c r="Y77" s="63"/>
      <c r="Z77" s="63"/>
      <c r="AA77" s="63"/>
      <c r="AB77" s="63"/>
      <c r="AC77" s="63"/>
      <c r="AD77" s="63"/>
    </row>
    <row r="78" spans="1:30" ht="3" customHeight="1" x14ac:dyDescent="0.15">
      <c r="A78" s="351"/>
      <c r="B78" s="352"/>
      <c r="C78" s="63"/>
      <c r="D78" s="352"/>
      <c r="E78" s="63"/>
      <c r="F78" s="153"/>
      <c r="G78" s="153"/>
      <c r="H78" s="63"/>
      <c r="I78" s="126"/>
      <c r="J78" s="63"/>
      <c r="K78" s="81"/>
      <c r="L78" s="63"/>
      <c r="M78" s="97"/>
      <c r="N78" s="63"/>
      <c r="O78" s="352"/>
      <c r="P78" s="351"/>
      <c r="Q78" s="138"/>
      <c r="R78" s="85"/>
      <c r="S78" s="127"/>
      <c r="T78" s="85"/>
      <c r="U78" s="85"/>
      <c r="V78" s="127"/>
      <c r="W78" s="85"/>
      <c r="X78" s="85"/>
      <c r="Y78" s="63"/>
      <c r="Z78" s="63"/>
      <c r="AA78" s="63"/>
      <c r="AB78" s="63"/>
      <c r="AC78" s="63"/>
      <c r="AD78" s="63"/>
    </row>
    <row r="79" spans="1:30" ht="3" customHeight="1" x14ac:dyDescent="0.15">
      <c r="A79" s="159"/>
      <c r="B79" s="70"/>
      <c r="C79" s="352"/>
      <c r="D79" s="352"/>
      <c r="E79" s="352"/>
      <c r="F79" s="352"/>
      <c r="G79" s="352"/>
      <c r="H79" s="352"/>
      <c r="I79" s="352"/>
      <c r="J79" s="352"/>
      <c r="K79" s="352"/>
      <c r="L79" s="352"/>
      <c r="M79" s="352"/>
      <c r="N79" s="352"/>
      <c r="O79" s="65"/>
      <c r="P79" s="161"/>
      <c r="Q79" s="160"/>
      <c r="R79" s="127"/>
      <c r="S79" s="127"/>
      <c r="T79" s="127"/>
      <c r="U79" s="127"/>
      <c r="V79" s="127"/>
      <c r="W79" s="127"/>
      <c r="X79" s="127"/>
      <c r="Y79" s="63"/>
      <c r="Z79" s="63"/>
      <c r="AA79" s="63"/>
      <c r="AB79" s="63"/>
      <c r="AC79" s="63"/>
      <c r="AD79" s="63"/>
    </row>
    <row r="80" spans="1:30" ht="5.25" customHeight="1" x14ac:dyDescent="0.15">
      <c r="A80" s="351"/>
      <c r="B80" s="351"/>
      <c r="C80" s="351"/>
      <c r="D80" s="351"/>
      <c r="E80" s="351"/>
      <c r="F80" s="351"/>
      <c r="G80" s="351"/>
      <c r="H80" s="351"/>
      <c r="I80" s="351"/>
      <c r="J80" s="351"/>
      <c r="K80" s="351"/>
      <c r="L80" s="351"/>
      <c r="M80" s="351"/>
      <c r="N80" s="351"/>
      <c r="O80" s="351"/>
      <c r="P80" s="351"/>
      <c r="Q80" s="127"/>
      <c r="R80" s="127"/>
      <c r="S80" s="127"/>
      <c r="U80" s="127"/>
      <c r="W80" s="127"/>
      <c r="X80" s="127"/>
      <c r="Y80" s="63"/>
      <c r="Z80" s="63"/>
      <c r="AA80" s="63"/>
      <c r="AB80" s="63"/>
      <c r="AC80" s="63"/>
      <c r="AD80" s="63"/>
    </row>
    <row r="81" spans="1:30" ht="24" customHeight="1" x14ac:dyDescent="0.15">
      <c r="A81" s="148"/>
      <c r="B81" s="401" t="s">
        <v>257</v>
      </c>
      <c r="C81" s="401"/>
      <c r="D81" s="162"/>
      <c r="E81" s="402">
        <f>E30+E51</f>
        <v>0</v>
      </c>
      <c r="F81" s="402"/>
      <c r="G81" s="402"/>
      <c r="H81" s="402"/>
      <c r="I81" s="148"/>
      <c r="J81" s="403">
        <f>J30+J51</f>
        <v>0</v>
      </c>
      <c r="K81" s="403"/>
      <c r="L81" s="403"/>
      <c r="M81" s="70"/>
      <c r="N81" s="163">
        <f>N30+N51</f>
        <v>11063.753405669697</v>
      </c>
      <c r="O81" s="148"/>
      <c r="P81" s="148"/>
      <c r="Q81" s="127"/>
      <c r="R81" s="127"/>
      <c r="S81" s="85"/>
      <c r="T81" s="132" t="s">
        <v>257</v>
      </c>
      <c r="U81" s="127"/>
      <c r="V81" s="133">
        <f>V30+V51</f>
        <v>0</v>
      </c>
      <c r="W81" s="127"/>
      <c r="X81" s="127"/>
      <c r="Y81" s="63"/>
      <c r="Z81" s="63"/>
      <c r="AA81" s="63"/>
      <c r="AB81" s="63"/>
      <c r="AC81" s="63"/>
      <c r="AD81" s="63"/>
    </row>
    <row r="82" spans="1:30" ht="15" customHeight="1" x14ac:dyDescent="0.15">
      <c r="A82" s="351"/>
      <c r="B82" s="351"/>
      <c r="C82" s="351"/>
      <c r="D82" s="351"/>
      <c r="E82" s="351"/>
      <c r="F82" s="351"/>
      <c r="G82" s="351"/>
      <c r="H82" s="351"/>
      <c r="I82" s="351"/>
      <c r="J82" s="351"/>
      <c r="K82" s="351"/>
      <c r="L82" s="351"/>
      <c r="M82" s="351"/>
      <c r="N82" s="351"/>
      <c r="O82" s="351"/>
      <c r="P82" s="351"/>
      <c r="Q82" s="127"/>
      <c r="R82" s="127"/>
      <c r="S82" s="127"/>
      <c r="T82" s="127"/>
      <c r="U82" s="127"/>
      <c r="V82" s="164">
        <f>E12</f>
        <v>1</v>
      </c>
      <c r="W82" s="127"/>
      <c r="X82" s="127"/>
      <c r="Y82" s="63"/>
      <c r="Z82" s="63"/>
      <c r="AA82" s="63"/>
      <c r="AB82" s="63"/>
      <c r="AC82" s="63"/>
      <c r="AD82" s="63"/>
    </row>
    <row r="83" spans="1:30" ht="25.5" customHeight="1" x14ac:dyDescent="0.15">
      <c r="A83" s="351"/>
      <c r="B83" s="351"/>
      <c r="C83" s="351"/>
      <c r="D83" s="351"/>
      <c r="E83" s="351"/>
      <c r="F83" s="351"/>
      <c r="G83" s="351"/>
      <c r="H83" s="351"/>
      <c r="I83" s="351"/>
      <c r="J83" s="351"/>
      <c r="K83" s="351"/>
      <c r="L83" s="351"/>
      <c r="M83" s="351"/>
      <c r="N83" s="351"/>
      <c r="O83" s="351"/>
      <c r="P83" s="351"/>
      <c r="Q83" s="127"/>
      <c r="R83" s="127"/>
      <c r="S83" s="127"/>
      <c r="T83" s="404"/>
      <c r="U83" s="165"/>
      <c r="V83" s="398">
        <f ca="1">TODAY()</f>
        <v>45505</v>
      </c>
      <c r="W83" s="127"/>
      <c r="X83" s="127"/>
      <c r="Y83" s="63"/>
      <c r="Z83" s="63"/>
      <c r="AA83" s="63"/>
      <c r="AB83" s="63"/>
      <c r="AC83" s="63"/>
      <c r="AD83" s="63"/>
    </row>
    <row r="84" spans="1:30" x14ac:dyDescent="0.15">
      <c r="A84" s="351"/>
      <c r="B84" s="351"/>
      <c r="C84" s="351"/>
      <c r="D84" s="351"/>
      <c r="E84" s="351"/>
      <c r="F84" s="351"/>
      <c r="G84" s="351"/>
      <c r="H84" s="351"/>
      <c r="I84" s="351"/>
      <c r="J84" s="351"/>
      <c r="K84" s="351"/>
      <c r="L84" s="351"/>
      <c r="M84" s="351"/>
      <c r="N84" s="351"/>
      <c r="O84" s="351"/>
      <c r="P84" s="351"/>
      <c r="Q84" s="127"/>
      <c r="R84" s="127"/>
      <c r="S84" s="127"/>
      <c r="T84" s="404"/>
      <c r="U84" s="165"/>
      <c r="V84" s="398"/>
      <c r="W84" s="127"/>
      <c r="X84" s="127"/>
      <c r="Y84" s="63"/>
      <c r="Z84" s="63"/>
      <c r="AA84" s="63"/>
      <c r="AB84" s="63"/>
      <c r="AC84" s="63"/>
      <c r="AD84" s="63"/>
    </row>
    <row r="85" spans="1:30" x14ac:dyDescent="0.15">
      <c r="A85" s="399"/>
      <c r="B85" s="399"/>
      <c r="C85" s="399"/>
      <c r="D85" s="399"/>
      <c r="E85" s="399"/>
      <c r="F85" s="399"/>
      <c r="G85" s="399"/>
      <c r="H85" s="399"/>
      <c r="I85" s="399"/>
      <c r="J85" s="399"/>
      <c r="K85" s="399"/>
      <c r="L85" s="399"/>
      <c r="M85" s="399"/>
      <c r="N85" s="399"/>
      <c r="O85" s="399"/>
      <c r="P85" s="399"/>
      <c r="Q85" s="127"/>
      <c r="R85" s="127"/>
      <c r="S85" s="127"/>
      <c r="T85" s="127"/>
      <c r="U85" s="127"/>
      <c r="V85" s="166" t="str">
        <f>CONCATENATE("Excel"," ",J8)</f>
        <v>Excel Versión 1.6 - Fecha: 23-7-2024</v>
      </c>
      <c r="W85" s="127"/>
      <c r="X85" s="127"/>
      <c r="Y85" s="63"/>
      <c r="Z85" s="63"/>
      <c r="AA85" s="63"/>
      <c r="AB85" s="63"/>
      <c r="AC85" s="63"/>
      <c r="AD85" s="63"/>
    </row>
    <row r="86" spans="1:30" x14ac:dyDescent="0.15">
      <c r="A86" s="70"/>
      <c r="B86" s="70"/>
      <c r="C86" s="70"/>
      <c r="D86" s="70"/>
      <c r="E86" s="70"/>
      <c r="F86" s="70"/>
      <c r="G86" s="70"/>
      <c r="H86" s="70"/>
      <c r="I86" s="70"/>
      <c r="J86" s="70"/>
      <c r="K86" s="70"/>
      <c r="L86" s="70"/>
      <c r="M86" s="70"/>
      <c r="N86" s="70"/>
      <c r="O86" s="70"/>
      <c r="P86" s="70"/>
      <c r="Q86" s="70"/>
      <c r="R86" s="70"/>
      <c r="S86" s="70"/>
      <c r="T86" s="70"/>
      <c r="U86" s="70"/>
      <c r="V86" s="70"/>
      <c r="W86" s="70"/>
      <c r="X86" s="70"/>
      <c r="Y86" s="63"/>
      <c r="Z86" s="63"/>
      <c r="AA86" s="63"/>
      <c r="AB86" s="63"/>
      <c r="AC86" s="63"/>
      <c r="AD86" s="63"/>
    </row>
    <row r="87" spans="1:30" x14ac:dyDescent="0.15">
      <c r="A87" s="70"/>
      <c r="B87" s="70"/>
      <c r="C87" s="70"/>
      <c r="D87" s="70"/>
      <c r="E87" s="70"/>
      <c r="F87" s="70"/>
      <c r="G87" s="70"/>
      <c r="H87" s="70"/>
      <c r="I87" s="70"/>
      <c r="J87" s="70"/>
      <c r="K87" s="70"/>
      <c r="L87" s="70"/>
      <c r="M87" s="70"/>
      <c r="N87" s="70"/>
      <c r="O87" s="70"/>
      <c r="P87" s="70"/>
      <c r="Q87" s="70"/>
      <c r="R87" s="70"/>
      <c r="S87" s="70"/>
      <c r="T87" s="70"/>
      <c r="U87" s="70"/>
      <c r="V87" s="70"/>
      <c r="W87" s="70"/>
      <c r="X87" s="70"/>
      <c r="Y87" s="63"/>
      <c r="Z87" s="63"/>
      <c r="AA87" s="63"/>
      <c r="AB87" s="63"/>
      <c r="AC87" s="63"/>
      <c r="AD87" s="63"/>
    </row>
    <row r="88" spans="1:30" ht="18" x14ac:dyDescent="0.15">
      <c r="T88" s="358" t="str">
        <f>S4</f>
        <v>RESULTADOS DE COSTES: FINCA DE LIMÓN FINO ECOLÓGICO.</v>
      </c>
      <c r="U88" s="359"/>
      <c r="V88" s="359"/>
      <c r="W88" s="360"/>
    </row>
    <row r="89" spans="1:30" ht="4.5" customHeight="1" x14ac:dyDescent="0.15">
      <c r="V89" s="168"/>
    </row>
    <row r="90" spans="1:30" x14ac:dyDescent="0.15">
      <c r="T90" s="169" t="str">
        <f>S8</f>
        <v>MARGEN NETO (MN)</v>
      </c>
      <c r="V90" s="170">
        <f>V8</f>
        <v>0</v>
      </c>
    </row>
    <row r="91" spans="1:30" ht="4.5" customHeight="1" x14ac:dyDescent="0.15">
      <c r="V91" s="168"/>
    </row>
    <row r="92" spans="1:30" x14ac:dyDescent="0.15">
      <c r="T92" s="169" t="str">
        <f>S10</f>
        <v>COSTE TOTAL  € / HA</v>
      </c>
      <c r="V92" s="171">
        <f>V10</f>
        <v>0</v>
      </c>
    </row>
    <row r="93" spans="1:30" ht="4.5" customHeight="1" x14ac:dyDescent="0.15">
      <c r="V93" s="168"/>
    </row>
    <row r="94" spans="1:30" x14ac:dyDescent="0.15">
      <c r="T94" s="169" t="str">
        <f>S12</f>
        <v>MN / COSTE TOTAL (%) (Rentabilidad)</v>
      </c>
      <c r="V94" s="172" t="e">
        <f>V12</f>
        <v>#DIV/0!</v>
      </c>
    </row>
    <row r="95" spans="1:30" ht="4.5" customHeight="1" x14ac:dyDescent="0.15">
      <c r="V95" s="168"/>
    </row>
    <row r="96" spans="1:30" x14ac:dyDescent="0.15">
      <c r="T96" s="169" t="str">
        <f>S14</f>
        <v>UMBRAL DE RENTABILIDAD (Kg produccion neta/ ha) Viabilidad</v>
      </c>
      <c r="V96" s="173" t="e">
        <f>V14</f>
        <v>#DIV/0!</v>
      </c>
    </row>
    <row r="97" spans="20:22" ht="4.5" customHeight="1" x14ac:dyDescent="0.15">
      <c r="V97" s="168"/>
    </row>
    <row r="98" spans="20:22" x14ac:dyDescent="0.15">
      <c r="T98" s="169" t="str">
        <f>S16</f>
        <v>COSTE MEDIO DE PRODUCCIÓN (€/Kg)</v>
      </c>
      <c r="V98" s="174" t="e">
        <f>V16</f>
        <v>#DIV/0!</v>
      </c>
    </row>
    <row r="99" spans="20:22" ht="4.5" customHeight="1" x14ac:dyDescent="0.15">
      <c r="V99" s="168"/>
    </row>
    <row r="100" spans="20:22" x14ac:dyDescent="0.15">
      <c r="T100" s="400" t="str">
        <f>S18</f>
        <v>PRODUCTIVIDAD DEL AGUA.</v>
      </c>
      <c r="U100" s="400"/>
      <c r="V100" s="400"/>
    </row>
    <row r="101" spans="20:22" ht="4.5" customHeight="1" x14ac:dyDescent="0.15">
      <c r="V101" s="168"/>
    </row>
    <row r="102" spans="20:22" x14ac:dyDescent="0.15">
      <c r="T102" s="169" t="str">
        <f>S20</f>
        <v>PRODUCTIVIDAD TÉCNICA AGUA</v>
      </c>
      <c r="V102" s="175" t="str">
        <f>V20</f>
        <v xml:space="preserve"> NO PROCEDE</v>
      </c>
    </row>
    <row r="103" spans="20:22" ht="4.5" customHeight="1" x14ac:dyDescent="0.15">
      <c r="V103" s="168"/>
    </row>
    <row r="104" spans="20:22" x14ac:dyDescent="0.15">
      <c r="T104" s="169" t="str">
        <f>S22</f>
        <v>PRODUCTIVA ECONOMICA BRUTA AGUA</v>
      </c>
      <c r="V104" s="176" t="str">
        <f>V22</f>
        <v xml:space="preserve"> NO PROCEDE</v>
      </c>
    </row>
    <row r="105" spans="20:22" ht="4.5" customHeight="1" x14ac:dyDescent="0.15">
      <c r="V105" s="168"/>
    </row>
    <row r="106" spans="20:22" x14ac:dyDescent="0.15">
      <c r="T106" s="169" t="str">
        <f>S24</f>
        <v>PRODUCTIVIDAD ECONÓMICA NETA AGUA</v>
      </c>
      <c r="V106" s="176" t="str">
        <f>V24</f>
        <v xml:space="preserve"> NO PROCEDE</v>
      </c>
    </row>
    <row r="107" spans="20:22" ht="4.5" customHeight="1" x14ac:dyDescent="0.15">
      <c r="V107" s="168"/>
    </row>
    <row r="108" spans="20:22" x14ac:dyDescent="0.15">
      <c r="V108" s="168"/>
    </row>
    <row r="109" spans="20:22" x14ac:dyDescent="0.15">
      <c r="V109" s="168"/>
    </row>
    <row r="110" spans="20:22" x14ac:dyDescent="0.15">
      <c r="V110" s="168"/>
    </row>
  </sheetData>
  <sheetProtection algorithmName="SHA-512" hashValue="VMP/4+7PvBWzBRjdfr0TUuJVqsu1vcppgF+S/QYWTuS4B9o8xIZPSgcKvdMx9MbcJ/3uLY4peC83NXWDjQVRVw==" saltValue="nIwBsaJsVWe4E3177/K7uA==" spinCount="100000" sheet="1" selectLockedCells="1"/>
  <mergeCells count="130">
    <mergeCell ref="C79:N79"/>
    <mergeCell ref="V83:V84"/>
    <mergeCell ref="A85:P85"/>
    <mergeCell ref="T88:W88"/>
    <mergeCell ref="T100:V100"/>
    <mergeCell ref="A80:P80"/>
    <mergeCell ref="B81:C81"/>
    <mergeCell ref="E81:H81"/>
    <mergeCell ref="J81:L81"/>
    <mergeCell ref="A82:P84"/>
    <mergeCell ref="T83:T84"/>
    <mergeCell ref="A75:A78"/>
    <mergeCell ref="B75:B78"/>
    <mergeCell ref="D75:D78"/>
    <mergeCell ref="G75:H75"/>
    <mergeCell ref="J75:L75"/>
    <mergeCell ref="N75:N77"/>
    <mergeCell ref="O75:O78"/>
    <mergeCell ref="P75:P78"/>
    <mergeCell ref="G77:H77"/>
    <mergeCell ref="J77:L77"/>
    <mergeCell ref="J65:L65"/>
    <mergeCell ref="G67:H67"/>
    <mergeCell ref="J67:L67"/>
    <mergeCell ref="G69:H69"/>
    <mergeCell ref="J69:L69"/>
    <mergeCell ref="E71:H71"/>
    <mergeCell ref="J71:L71"/>
    <mergeCell ref="G73:H73"/>
    <mergeCell ref="J73:L73"/>
    <mergeCell ref="O46:O49"/>
    <mergeCell ref="P46:P49"/>
    <mergeCell ref="G48:H48"/>
    <mergeCell ref="J48:L48"/>
    <mergeCell ref="A51:A73"/>
    <mergeCell ref="B51:B73"/>
    <mergeCell ref="D51:D73"/>
    <mergeCell ref="E51:H51"/>
    <mergeCell ref="J51:L51"/>
    <mergeCell ref="O51:O73"/>
    <mergeCell ref="P51:P73"/>
    <mergeCell ref="G53:H53"/>
    <mergeCell ref="J53:L53"/>
    <mergeCell ref="G55:H55"/>
    <mergeCell ref="J55:L55"/>
    <mergeCell ref="G57:H57"/>
    <mergeCell ref="J57:L57"/>
    <mergeCell ref="G59:H59"/>
    <mergeCell ref="J59:L59"/>
    <mergeCell ref="G61:H61"/>
    <mergeCell ref="J61:L61"/>
    <mergeCell ref="G63:H63"/>
    <mergeCell ref="J63:L63"/>
    <mergeCell ref="G65:H65"/>
    <mergeCell ref="G44:H44"/>
    <mergeCell ref="J44:L44"/>
    <mergeCell ref="A46:A49"/>
    <mergeCell ref="B46:B49"/>
    <mergeCell ref="D46:D49"/>
    <mergeCell ref="F46:F49"/>
    <mergeCell ref="G46:H46"/>
    <mergeCell ref="J46:L46"/>
    <mergeCell ref="N46:N48"/>
    <mergeCell ref="S21:V21"/>
    <mergeCell ref="E22:H22"/>
    <mergeCell ref="J22:L22"/>
    <mergeCell ref="S22:T22"/>
    <mergeCell ref="S23:V23"/>
    <mergeCell ref="S24:T24"/>
    <mergeCell ref="S25:V25"/>
    <mergeCell ref="C26:C28"/>
    <mergeCell ref="E26:H28"/>
    <mergeCell ref="J26:L26"/>
    <mergeCell ref="S26:V26"/>
    <mergeCell ref="J28:L28"/>
    <mergeCell ref="S15:V15"/>
    <mergeCell ref="E16:H16"/>
    <mergeCell ref="J16:L16"/>
    <mergeCell ref="S16:T16"/>
    <mergeCell ref="S17:V17"/>
    <mergeCell ref="C18:C20"/>
    <mergeCell ref="E18:E20"/>
    <mergeCell ref="G18:H20"/>
    <mergeCell ref="S18:V18"/>
    <mergeCell ref="S19:V19"/>
    <mergeCell ref="S20:T20"/>
    <mergeCell ref="S9:V9"/>
    <mergeCell ref="J10:L10"/>
    <mergeCell ref="S10:T10"/>
    <mergeCell ref="S11:V11"/>
    <mergeCell ref="E12:H12"/>
    <mergeCell ref="J12:L12"/>
    <mergeCell ref="S12:T12"/>
    <mergeCell ref="S13:V13"/>
    <mergeCell ref="E14:H14"/>
    <mergeCell ref="S14:T14"/>
    <mergeCell ref="S2:T2"/>
    <mergeCell ref="S4:V4"/>
    <mergeCell ref="C5:J5"/>
    <mergeCell ref="S5:V5"/>
    <mergeCell ref="C6:L6"/>
    <mergeCell ref="S6:V6"/>
    <mergeCell ref="S7:V7"/>
    <mergeCell ref="E8:H8"/>
    <mergeCell ref="J8:L8"/>
    <mergeCell ref="S8:T8"/>
    <mergeCell ref="A1:A44"/>
    <mergeCell ref="B1:O1"/>
    <mergeCell ref="P1:P44"/>
    <mergeCell ref="B2:B44"/>
    <mergeCell ref="C2:L2"/>
    <mergeCell ref="O2:O44"/>
    <mergeCell ref="C7:J7"/>
    <mergeCell ref="J15:L15"/>
    <mergeCell ref="E24:H24"/>
    <mergeCell ref="J24:L24"/>
    <mergeCell ref="E30:H30"/>
    <mergeCell ref="J30:L30"/>
    <mergeCell ref="G32:H32"/>
    <mergeCell ref="J32:L32"/>
    <mergeCell ref="G34:H34"/>
    <mergeCell ref="J34:L34"/>
    <mergeCell ref="G36:H36"/>
    <mergeCell ref="J36:L36"/>
    <mergeCell ref="G38:H38"/>
    <mergeCell ref="J38:L38"/>
    <mergeCell ref="G40:H40"/>
    <mergeCell ref="J40:L40"/>
    <mergeCell ref="G42:H42"/>
    <mergeCell ref="J42:L42"/>
  </mergeCells>
  <conditionalFormatting sqref="E26 G18 E8 E10 E12 E14 J14 E24 C46 C48 C75 C77">
    <cfRule type="cellIs" dxfId="25" priority="14" stopIfTrue="1" operator="equal">
      <formula>0</formula>
    </cfRule>
  </conditionalFormatting>
  <conditionalFormatting sqref="E26">
    <cfRule type="cellIs" dxfId="24" priority="7" stopIfTrue="1" operator="equal">
      <formula>0</formula>
    </cfRule>
  </conditionalFormatting>
  <conditionalFormatting sqref="G32 G34 G36 G38 G40 G42 G44 G46 G48 G53 G55 G57 G59 G61 G63 G65 G67 G69 G73 G75 G77">
    <cfRule type="expression" dxfId="23" priority="5" stopIfTrue="1">
      <formula>E32="NO"</formula>
    </cfRule>
  </conditionalFormatting>
  <conditionalFormatting sqref="G18:H20">
    <cfRule type="expression" dxfId="22" priority="2" stopIfTrue="1">
      <formula>E18="NO"</formula>
    </cfRule>
  </conditionalFormatting>
  <conditionalFormatting sqref="J10">
    <cfRule type="cellIs" dxfId="21" priority="10" stopIfTrue="1" operator="equal">
      <formula>0</formula>
    </cfRule>
  </conditionalFormatting>
  <conditionalFormatting sqref="J26 N26">
    <cfRule type="cellIs" dxfId="20" priority="8" stopIfTrue="1" operator="equal">
      <formula>0</formula>
    </cfRule>
  </conditionalFormatting>
  <conditionalFormatting sqref="L20">
    <cfRule type="cellIs" dxfId="19" priority="9" stopIfTrue="1" operator="equal">
      <formula>0</formula>
    </cfRule>
  </conditionalFormatting>
  <conditionalFormatting sqref="N16">
    <cfRule type="cellIs" dxfId="18" priority="6" stopIfTrue="1" operator="equal">
      <formula>0</formula>
    </cfRule>
  </conditionalFormatting>
  <conditionalFormatting sqref="Q22 Q28 Q32 Q34 Q36 Q38 Q40 Q42 Q44 Q53 Q55 Q57 Q59 Q61 Q63 Q65 Q67 Q69 Q71 Q73">
    <cfRule type="cellIs" dxfId="17" priority="3" stopIfTrue="1" operator="equal">
      <formula>"Menor que REF."</formula>
    </cfRule>
  </conditionalFormatting>
  <conditionalFormatting sqref="T46 T48 T75 T77">
    <cfRule type="cellIs" dxfId="16" priority="4" stopIfTrue="1" operator="equal">
      <formula>0</formula>
    </cfRule>
  </conditionalFormatting>
  <conditionalFormatting sqref="V10">
    <cfRule type="cellIs" dxfId="15" priority="13" stopIfTrue="1" operator="equal">
      <formula>0</formula>
    </cfRule>
  </conditionalFormatting>
  <conditionalFormatting sqref="V14">
    <cfRule type="cellIs" dxfId="14" priority="12" stopIfTrue="1" operator="equal">
      <formula>0</formula>
    </cfRule>
  </conditionalFormatting>
  <conditionalFormatting sqref="V24">
    <cfRule type="cellIs" dxfId="13" priority="11" stopIfTrue="1" operator="equal">
      <formula>0</formula>
    </cfRule>
  </conditionalFormatting>
  <dataValidations disablePrompts="1" count="2">
    <dataValidation type="list" allowBlank="1" showInputMessage="1" showErrorMessage="1" sqref="E43 E49 E45 E72 E41 F32" xr:uid="{8373FC7C-2D9B-9940-A8B1-E9634783406C}">
      <formula1>#REF!</formula1>
    </dataValidation>
    <dataValidation type="list" allowBlank="1" showInputMessage="1" showErrorMessage="1" sqref="E46 E77 E73 E75 E32 E69 E65 E59 E63 E67 E61 E57 E55 E53 E18 E42 E44 E40 E36 E38 E34 E48" xr:uid="{F00FF957-64BA-E14C-8344-A3BA33160035}">
      <formula1>$AC$1:$AC$2</formula1>
    </dataValidation>
  </dataValidations>
  <pageMargins left="1.3779527559055118" right="0.70866141732283472" top="0.74803149606299213" bottom="0.74803149606299213" header="0.31496062992125984" footer="0.31496062992125984"/>
  <pageSetup paperSize="9" scale="77" orientation="portrait"/>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D035D-7A5F-2347-8F18-6A798E11FBE9}">
  <sheetPr codeName="Hoja7"/>
  <dimension ref="B3:B12"/>
  <sheetViews>
    <sheetView workbookViewId="0">
      <selection activeCell="B17" sqref="B17"/>
    </sheetView>
  </sheetViews>
  <sheetFormatPr baseColWidth="10" defaultRowHeight="13" x14ac:dyDescent="0.15"/>
  <cols>
    <col min="1" max="1" width="1.6640625" customWidth="1"/>
    <col min="2" max="2" width="144.33203125" customWidth="1"/>
  </cols>
  <sheetData>
    <row r="3" spans="2:2" x14ac:dyDescent="0.15">
      <c r="B3" s="179" t="s">
        <v>266</v>
      </c>
    </row>
    <row r="4" spans="2:2" ht="14" x14ac:dyDescent="0.15">
      <c r="B4" s="180" t="s">
        <v>267</v>
      </c>
    </row>
    <row r="5" spans="2:2" ht="28" x14ac:dyDescent="0.15">
      <c r="B5" s="180" t="s">
        <v>268</v>
      </c>
    </row>
    <row r="6" spans="2:2" ht="28" x14ac:dyDescent="0.15">
      <c r="B6" s="180" t="s">
        <v>269</v>
      </c>
    </row>
    <row r="7" spans="2:2" ht="14" x14ac:dyDescent="0.15">
      <c r="B7" s="180" t="s">
        <v>270</v>
      </c>
    </row>
    <row r="8" spans="2:2" ht="28" x14ac:dyDescent="0.15">
      <c r="B8" s="180" t="s">
        <v>271</v>
      </c>
    </row>
    <row r="9" spans="2:2" ht="42" x14ac:dyDescent="0.15">
      <c r="B9" s="180" t="s">
        <v>272</v>
      </c>
    </row>
    <row r="10" spans="2:2" ht="28" x14ac:dyDescent="0.15">
      <c r="B10" s="180" t="s">
        <v>273</v>
      </c>
    </row>
    <row r="11" spans="2:2" ht="28" x14ac:dyDescent="0.15">
      <c r="B11" s="180" t="s">
        <v>274</v>
      </c>
    </row>
    <row r="12" spans="2:2" ht="28" x14ac:dyDescent="0.15">
      <c r="B12" s="180" t="s">
        <v>275</v>
      </c>
    </row>
  </sheetData>
  <sheetProtection password="CDAD" sheet="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2DCD2-1F6A-0049-93B4-C94F225AEA3F}">
  <sheetPr codeName="Hoja8"/>
  <dimension ref="B2:B8"/>
  <sheetViews>
    <sheetView workbookViewId="0">
      <selection activeCell="B5" sqref="B5"/>
    </sheetView>
  </sheetViews>
  <sheetFormatPr baseColWidth="10" defaultRowHeight="13" x14ac:dyDescent="0.15"/>
  <cols>
    <col min="1" max="1" width="1.6640625" customWidth="1"/>
    <col min="2" max="2" width="144.33203125" customWidth="1"/>
  </cols>
  <sheetData>
    <row r="2" spans="2:2" x14ac:dyDescent="0.15">
      <c r="B2" s="179" t="s">
        <v>259</v>
      </c>
    </row>
    <row r="3" spans="2:2" ht="14" x14ac:dyDescent="0.15">
      <c r="B3" s="180" t="s">
        <v>260</v>
      </c>
    </row>
    <row r="4" spans="2:2" ht="14" x14ac:dyDescent="0.15">
      <c r="B4" s="180" t="s">
        <v>261</v>
      </c>
    </row>
    <row r="5" spans="2:2" ht="28" x14ac:dyDescent="0.15">
      <c r="B5" s="180" t="s">
        <v>262</v>
      </c>
    </row>
    <row r="6" spans="2:2" ht="14" x14ac:dyDescent="0.15">
      <c r="B6" s="180" t="s">
        <v>263</v>
      </c>
    </row>
    <row r="7" spans="2:2" ht="14" x14ac:dyDescent="0.15">
      <c r="B7" s="180" t="s">
        <v>264</v>
      </c>
    </row>
    <row r="8" spans="2:2" ht="28" x14ac:dyDescent="0.15">
      <c r="B8" s="180" t="s">
        <v>265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C6F44-E2C4-E747-933E-B60FE75E4B80}">
  <sheetPr codeName="Hoja2"/>
  <dimension ref="B1:K60"/>
  <sheetViews>
    <sheetView workbookViewId="0">
      <selection activeCell="G2" sqref="G2"/>
    </sheetView>
  </sheetViews>
  <sheetFormatPr baseColWidth="10" defaultRowHeight="13" x14ac:dyDescent="0.15"/>
  <cols>
    <col min="1" max="1" width="4" customWidth="1"/>
    <col min="2" max="2" width="28.33203125" customWidth="1"/>
    <col min="3" max="3" width="12.5" customWidth="1"/>
    <col min="4" max="4" width="13.6640625" customWidth="1"/>
    <col min="5" max="5" width="15.6640625" customWidth="1"/>
    <col min="7" max="7" width="23.1640625" customWidth="1"/>
  </cols>
  <sheetData>
    <row r="1" spans="2:11" x14ac:dyDescent="0.15">
      <c r="B1" s="405" t="s">
        <v>280</v>
      </c>
      <c r="C1" s="406"/>
      <c r="D1" s="181"/>
      <c r="G1" s="407" t="str">
        <f>B1</f>
        <v>Limonero Fino Ecológico</v>
      </c>
      <c r="H1" s="406"/>
      <c r="I1" s="16"/>
    </row>
    <row r="2" spans="2:11" x14ac:dyDescent="0.15">
      <c r="B2" s="182" t="s">
        <v>0</v>
      </c>
      <c r="C2" s="183"/>
      <c r="D2" s="184">
        <f>(C5*C6)+(C3*(C4/100)*C7)</f>
        <v>13821</v>
      </c>
      <c r="G2" s="194" t="s">
        <v>39</v>
      </c>
      <c r="H2" s="181"/>
      <c r="I2" s="195"/>
      <c r="J2" s="195"/>
      <c r="K2" s="195"/>
    </row>
    <row r="3" spans="2:11" x14ac:dyDescent="0.15">
      <c r="B3" s="185" t="s">
        <v>1</v>
      </c>
      <c r="C3" s="186">
        <v>42500</v>
      </c>
      <c r="D3" s="181"/>
      <c r="G3" s="188" t="s">
        <v>40</v>
      </c>
      <c r="H3" s="196">
        <v>286</v>
      </c>
      <c r="I3" s="197" t="s">
        <v>136</v>
      </c>
      <c r="J3" s="197"/>
      <c r="K3" s="198"/>
    </row>
    <row r="4" spans="2:11" x14ac:dyDescent="0.15">
      <c r="B4" s="185" t="s">
        <v>2</v>
      </c>
      <c r="C4" s="187">
        <v>12</v>
      </c>
      <c r="D4" s="181"/>
      <c r="G4" s="188" t="s">
        <v>41</v>
      </c>
      <c r="H4" s="199">
        <v>8</v>
      </c>
      <c r="I4" s="16"/>
    </row>
    <row r="5" spans="2:11" x14ac:dyDescent="0.15">
      <c r="B5" s="188" t="s">
        <v>3</v>
      </c>
      <c r="C5" s="189">
        <f>C3*((100-C4)/100)</f>
        <v>37400</v>
      </c>
      <c r="D5" s="177">
        <f>C3-C5</f>
        <v>5100</v>
      </c>
      <c r="G5" s="188" t="s">
        <v>42</v>
      </c>
      <c r="H5" s="200">
        <v>2</v>
      </c>
      <c r="I5" s="16"/>
    </row>
    <row r="6" spans="2:11" x14ac:dyDescent="0.15">
      <c r="B6" s="185" t="s">
        <v>4</v>
      </c>
      <c r="C6" s="190">
        <v>0.36</v>
      </c>
      <c r="D6" s="181"/>
      <c r="G6" s="188" t="s">
        <v>43</v>
      </c>
      <c r="H6" s="200">
        <v>230</v>
      </c>
      <c r="I6" s="16"/>
    </row>
    <row r="7" spans="2:11" x14ac:dyDescent="0.15">
      <c r="B7" s="185" t="s">
        <v>5</v>
      </c>
      <c r="C7" s="190">
        <v>7.0000000000000007E-2</v>
      </c>
      <c r="D7" s="178">
        <f>D5*C7</f>
        <v>357.00000000000006</v>
      </c>
      <c r="G7" s="188" t="s">
        <v>44</v>
      </c>
      <c r="H7" s="200">
        <f>H6*H4</f>
        <v>1840</v>
      </c>
      <c r="I7" s="16"/>
    </row>
    <row r="8" spans="2:11" x14ac:dyDescent="0.15">
      <c r="B8" s="191" t="s">
        <v>6</v>
      </c>
      <c r="C8" s="192"/>
      <c r="D8" s="181"/>
      <c r="G8" s="188" t="s">
        <v>45</v>
      </c>
      <c r="H8" s="200">
        <f>H7*C41</f>
        <v>17480</v>
      </c>
      <c r="I8" s="16"/>
    </row>
    <row r="9" spans="2:11" x14ac:dyDescent="0.15">
      <c r="B9" s="191" t="s">
        <v>7</v>
      </c>
      <c r="C9" s="193"/>
      <c r="D9" s="181"/>
      <c r="G9" s="188" t="s">
        <v>46</v>
      </c>
      <c r="H9" s="200">
        <v>8</v>
      </c>
      <c r="I9" s="16"/>
    </row>
    <row r="10" spans="2:11" x14ac:dyDescent="0.15">
      <c r="B10" s="30"/>
      <c r="C10" s="30"/>
      <c r="D10" s="1"/>
    </row>
    <row r="11" spans="2:11" x14ac:dyDescent="0.15">
      <c r="B11" s="30"/>
      <c r="C11" s="30"/>
      <c r="D11" s="1"/>
    </row>
    <row r="12" spans="2:11" x14ac:dyDescent="0.15">
      <c r="B12" s="30"/>
      <c r="C12" s="30"/>
      <c r="D12" s="1"/>
    </row>
    <row r="13" spans="2:11" x14ac:dyDescent="0.15">
      <c r="B13" s="201" t="s">
        <v>8</v>
      </c>
      <c r="C13" s="183"/>
      <c r="D13" s="184">
        <f>C15+C17+C21+(C18*C19*C20)+(C22*C23)+C24</f>
        <v>6187.71958</v>
      </c>
    </row>
    <row r="14" spans="2:11" x14ac:dyDescent="0.15">
      <c r="B14" s="202" t="s">
        <v>9</v>
      </c>
      <c r="C14" s="203" t="str">
        <f>fertyfito!B10</f>
        <v>186-67-198-30-0</v>
      </c>
      <c r="D14" s="1"/>
      <c r="F14" s="204"/>
    </row>
    <row r="15" spans="2:11" x14ac:dyDescent="0.15">
      <c r="B15" s="202" t="s">
        <v>10</v>
      </c>
      <c r="C15" s="205">
        <v>2318.19</v>
      </c>
      <c r="D15" s="1"/>
    </row>
    <row r="16" spans="2:11" x14ac:dyDescent="0.15">
      <c r="B16" s="202" t="s">
        <v>11</v>
      </c>
      <c r="C16" s="206">
        <v>2</v>
      </c>
      <c r="D16" s="1"/>
    </row>
    <row r="17" spans="2:6" x14ac:dyDescent="0.15">
      <c r="B17" s="202" t="s">
        <v>12</v>
      </c>
      <c r="C17" s="205">
        <v>214.5</v>
      </c>
      <c r="D17" s="1"/>
    </row>
    <row r="18" spans="2:6" x14ac:dyDescent="0.15">
      <c r="B18" s="202" t="s">
        <v>139</v>
      </c>
      <c r="C18" s="206">
        <v>1</v>
      </c>
      <c r="D18" s="1"/>
    </row>
    <row r="19" spans="2:6" x14ac:dyDescent="0.15">
      <c r="B19" s="202" t="s">
        <v>140</v>
      </c>
      <c r="C19" s="207">
        <v>1</v>
      </c>
      <c r="D19" s="1"/>
    </row>
    <row r="20" spans="2:6" x14ac:dyDescent="0.15">
      <c r="B20" s="202" t="s">
        <v>141</v>
      </c>
      <c r="C20" s="208">
        <v>665.5</v>
      </c>
      <c r="D20" s="1"/>
      <c r="E20" t="s">
        <v>142</v>
      </c>
    </row>
    <row r="21" spans="2:6" x14ac:dyDescent="0.15">
      <c r="B21" s="202" t="s">
        <v>13</v>
      </c>
      <c r="C21" s="205">
        <f>F21*C5</f>
        <v>785.40000000000009</v>
      </c>
      <c r="D21" s="1"/>
      <c r="E21" s="209" t="s">
        <v>211</v>
      </c>
      <c r="F21" s="210">
        <v>2.1000000000000001E-2</v>
      </c>
    </row>
    <row r="22" spans="2:6" ht="16" x14ac:dyDescent="0.15">
      <c r="B22" s="202" t="s">
        <v>137</v>
      </c>
      <c r="C22" s="211">
        <f>fertyfito!V19</f>
        <v>5700</v>
      </c>
      <c r="D22" s="212">
        <f>C22*C23*COSTES!F2</f>
        <v>2024.9249999999995</v>
      </c>
    </row>
    <row r="23" spans="2:6" ht="16" x14ac:dyDescent="0.15">
      <c r="B23" s="202" t="s">
        <v>138</v>
      </c>
      <c r="C23" s="213">
        <v>0.35</v>
      </c>
      <c r="D23" s="1"/>
    </row>
    <row r="24" spans="2:6" x14ac:dyDescent="0.15">
      <c r="B24" s="202" t="s">
        <v>14</v>
      </c>
      <c r="C24" s="205">
        <f>fertyfito!V13</f>
        <v>209.12958000000009</v>
      </c>
      <c r="D24" s="1"/>
    </row>
    <row r="25" spans="2:6" x14ac:dyDescent="0.15">
      <c r="B25" s="1"/>
      <c r="C25" s="214"/>
      <c r="D25" s="1"/>
    </row>
    <row r="26" spans="2:6" x14ac:dyDescent="0.15">
      <c r="B26" s="30"/>
      <c r="C26" s="30"/>
      <c r="D26" s="1"/>
    </row>
    <row r="27" spans="2:6" x14ac:dyDescent="0.15">
      <c r="B27" s="30"/>
      <c r="C27" s="30"/>
      <c r="D27" s="1"/>
    </row>
    <row r="28" spans="2:6" x14ac:dyDescent="0.15">
      <c r="B28" s="201" t="s">
        <v>15</v>
      </c>
      <c r="C28" s="183"/>
      <c r="D28" s="184">
        <f>(C29*C30*C31)+(1*C32*C33)+(C34*C18*C35)+(C16*C36*C35)</f>
        <v>345</v>
      </c>
    </row>
    <row r="29" spans="2:6" x14ac:dyDescent="0.15">
      <c r="B29" s="202" t="s">
        <v>16</v>
      </c>
      <c r="C29" s="207">
        <v>3</v>
      </c>
      <c r="D29" s="1"/>
    </row>
    <row r="30" spans="2:6" x14ac:dyDescent="0.15">
      <c r="B30" s="202" t="s">
        <v>17</v>
      </c>
      <c r="C30" s="215">
        <v>1.5</v>
      </c>
      <c r="D30" s="1"/>
    </row>
    <row r="31" spans="2:6" x14ac:dyDescent="0.15">
      <c r="B31" s="216" t="s">
        <v>18</v>
      </c>
      <c r="C31" s="217">
        <v>30</v>
      </c>
      <c r="D31" s="1"/>
    </row>
    <row r="32" spans="2:6" x14ac:dyDescent="0.15">
      <c r="B32" s="202" t="s">
        <v>19</v>
      </c>
      <c r="C32" s="218">
        <v>3.5</v>
      </c>
      <c r="D32" s="1"/>
    </row>
    <row r="33" spans="2:4" x14ac:dyDescent="0.15">
      <c r="B33" s="216" t="s">
        <v>20</v>
      </c>
      <c r="C33" s="217">
        <f>C31</f>
        <v>30</v>
      </c>
      <c r="D33" s="1"/>
    </row>
    <row r="34" spans="2:4" x14ac:dyDescent="0.15">
      <c r="B34" s="202" t="s">
        <v>21</v>
      </c>
      <c r="C34" s="215">
        <v>0</v>
      </c>
      <c r="D34" s="1"/>
    </row>
    <row r="35" spans="2:4" x14ac:dyDescent="0.15">
      <c r="B35" s="216" t="s">
        <v>22</v>
      </c>
      <c r="C35" s="217">
        <f>C33</f>
        <v>30</v>
      </c>
      <c r="D35" s="1"/>
    </row>
    <row r="36" spans="2:4" x14ac:dyDescent="0.15">
      <c r="B36" s="202" t="s">
        <v>23</v>
      </c>
      <c r="C36" s="215">
        <v>1.75</v>
      </c>
      <c r="D36" s="1"/>
    </row>
    <row r="37" spans="2:4" x14ac:dyDescent="0.15">
      <c r="B37" s="30"/>
      <c r="C37" s="30"/>
      <c r="D37" s="1"/>
    </row>
    <row r="38" spans="2:4" x14ac:dyDescent="0.15">
      <c r="B38" s="30"/>
      <c r="C38" s="30"/>
      <c r="D38" s="1"/>
    </row>
    <row r="39" spans="2:4" x14ac:dyDescent="0.15">
      <c r="B39" s="30"/>
      <c r="C39" s="30"/>
      <c r="D39" s="1"/>
    </row>
    <row r="40" spans="2:4" x14ac:dyDescent="0.15">
      <c r="B40" s="219" t="s">
        <v>24</v>
      </c>
      <c r="C40" s="220"/>
      <c r="D40" s="184">
        <f>(C45+C46+C47+C48+C49)</f>
        <v>1198.925</v>
      </c>
    </row>
    <row r="41" spans="2:4" x14ac:dyDescent="0.15">
      <c r="B41" s="185" t="s">
        <v>25</v>
      </c>
      <c r="C41" s="221">
        <v>9.5</v>
      </c>
      <c r="D41" s="1"/>
    </row>
    <row r="42" spans="2:4" x14ac:dyDescent="0.15">
      <c r="B42" s="222" t="s">
        <v>49</v>
      </c>
      <c r="C42" s="223">
        <v>9.5</v>
      </c>
      <c r="D42" s="1"/>
    </row>
    <row r="43" spans="2:4" x14ac:dyDescent="0.15">
      <c r="B43" s="222" t="s">
        <v>50</v>
      </c>
      <c r="C43" s="223">
        <v>9.75</v>
      </c>
      <c r="D43" s="1"/>
    </row>
    <row r="44" spans="2:4" x14ac:dyDescent="0.15">
      <c r="B44" s="188" t="s">
        <v>26</v>
      </c>
      <c r="C44" s="224">
        <v>20</v>
      </c>
      <c r="D44" s="1"/>
    </row>
    <row r="45" spans="2:4" x14ac:dyDescent="0.15">
      <c r="B45" s="188" t="s">
        <v>27</v>
      </c>
      <c r="C45" s="225">
        <f>((H3/C44)*H4*C42)</f>
        <v>1086.8</v>
      </c>
      <c r="D45" s="1"/>
    </row>
    <row r="46" spans="2:4" x14ac:dyDescent="0.15">
      <c r="B46" s="188" t="s">
        <v>28</v>
      </c>
      <c r="C46" s="225">
        <f>C29*C30*C43</f>
        <v>43.875</v>
      </c>
      <c r="D46" s="1"/>
    </row>
    <row r="47" spans="2:4" x14ac:dyDescent="0.15">
      <c r="B47" s="188" t="s">
        <v>29</v>
      </c>
      <c r="C47" s="225">
        <f>1*C32*C43</f>
        <v>34.125</v>
      </c>
      <c r="D47" s="1"/>
    </row>
    <row r="48" spans="2:4" x14ac:dyDescent="0.15">
      <c r="B48" s="188" t="s">
        <v>30</v>
      </c>
      <c r="C48" s="225">
        <v>0</v>
      </c>
      <c r="D48" s="1"/>
    </row>
    <row r="49" spans="2:5" x14ac:dyDescent="0.15">
      <c r="B49" s="188" t="s">
        <v>31</v>
      </c>
      <c r="C49" s="225">
        <f>C16*C36*C43</f>
        <v>34.125</v>
      </c>
      <c r="D49" s="1"/>
    </row>
    <row r="50" spans="2:5" x14ac:dyDescent="0.15">
      <c r="B50" s="188" t="s">
        <v>32</v>
      </c>
      <c r="C50" s="226">
        <v>600</v>
      </c>
      <c r="D50" s="1"/>
    </row>
    <row r="51" spans="2:5" x14ac:dyDescent="0.15">
      <c r="B51" s="188" t="s">
        <v>33</v>
      </c>
      <c r="C51" s="227">
        <f>(C3/C50)*H4*C41</f>
        <v>5383.333333333333</v>
      </c>
      <c r="D51" s="1"/>
    </row>
    <row r="52" spans="2:5" x14ac:dyDescent="0.15">
      <c r="B52" s="188" t="s">
        <v>48</v>
      </c>
      <c r="C52" s="225">
        <f>(H8/H9)</f>
        <v>2185</v>
      </c>
      <c r="D52" s="1"/>
    </row>
    <row r="53" spans="2:5" x14ac:dyDescent="0.15">
      <c r="B53" s="1"/>
      <c r="C53" s="1"/>
      <c r="D53" s="1"/>
    </row>
    <row r="54" spans="2:5" ht="14" x14ac:dyDescent="0.15">
      <c r="B54" s="1"/>
      <c r="C54" s="408"/>
      <c r="D54" s="228">
        <f>D13+D28+D40</f>
        <v>7731.6445800000001</v>
      </c>
      <c r="E54" s="229" t="s">
        <v>47</v>
      </c>
    </row>
    <row r="55" spans="2:5" ht="14" x14ac:dyDescent="0.15">
      <c r="B55" s="1"/>
      <c r="C55" s="408" t="s">
        <v>34</v>
      </c>
      <c r="D55" s="228">
        <f>D54+C52</f>
        <v>9916.6445800000001</v>
      </c>
      <c r="E55" s="229" t="s">
        <v>47</v>
      </c>
    </row>
    <row r="56" spans="2:5" x14ac:dyDescent="0.15">
      <c r="B56" s="30"/>
      <c r="C56" s="30"/>
      <c r="D56" s="1"/>
    </row>
    <row r="57" spans="2:5" x14ac:dyDescent="0.15">
      <c r="B57" s="200" t="s">
        <v>35</v>
      </c>
      <c r="C57" s="230"/>
      <c r="D57" s="1"/>
    </row>
    <row r="58" spans="2:5" x14ac:dyDescent="0.15">
      <c r="B58" s="230" t="s">
        <v>36</v>
      </c>
      <c r="C58" s="230"/>
      <c r="D58" s="1"/>
    </row>
    <row r="59" spans="2:5" x14ac:dyDescent="0.15">
      <c r="B59" s="200" t="s">
        <v>37</v>
      </c>
      <c r="C59" s="230"/>
      <c r="D59" s="1"/>
    </row>
    <row r="60" spans="2:5" x14ac:dyDescent="0.15">
      <c r="B60" s="230" t="s">
        <v>38</v>
      </c>
      <c r="C60" s="230"/>
      <c r="D60" s="1"/>
    </row>
  </sheetData>
  <sheetProtection password="CDAD" sheet="1"/>
  <mergeCells count="3">
    <mergeCell ref="B1:C1"/>
    <mergeCell ref="G1:H1"/>
    <mergeCell ref="C54:C55"/>
  </mergeCells>
  <phoneticPr fontId="8" type="noConversion"/>
  <conditionalFormatting sqref="C29:C36">
    <cfRule type="cellIs" dxfId="12" priority="1" stopIfTrue="1" operator="equal">
      <formula>0</formula>
    </cfRule>
  </conditionalFormatting>
  <conditionalFormatting sqref="C57:C60">
    <cfRule type="cellIs" dxfId="11" priority="2" stopIfTrue="1" operator="equal">
      <formula>0</formula>
    </cfRule>
  </conditionalFormatting>
  <conditionalFormatting sqref="D2 C3:C9">
    <cfRule type="cellIs" dxfId="10" priority="7" stopIfTrue="1" operator="equal">
      <formula>0</formula>
    </cfRule>
  </conditionalFormatting>
  <conditionalFormatting sqref="D13 C14:C24 F21">
    <cfRule type="cellIs" dxfId="9" priority="5" stopIfTrue="1" operator="equal">
      <formula>0</formula>
    </cfRule>
  </conditionalFormatting>
  <conditionalFormatting sqref="D28">
    <cfRule type="cellIs" dxfId="8" priority="4" stopIfTrue="1" operator="equal">
      <formula>0</formula>
    </cfRule>
  </conditionalFormatting>
  <conditionalFormatting sqref="D40 C41:C52 D54:D55">
    <cfRule type="cellIs" dxfId="7" priority="3" stopIfTrue="1" operator="equal">
      <formula>0</formula>
    </cfRule>
  </conditionalFormatting>
  <conditionalFormatting sqref="I3:K3 H3:H9">
    <cfRule type="cellIs" dxfId="6" priority="6" stopIfTrue="1" operator="equal">
      <formula>0</formula>
    </cfRule>
  </conditionalFormatting>
  <pageMargins left="0.75" right="0.75" top="1" bottom="1" header="0" footer="0"/>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1765C-B1BF-E740-94DC-0E93200E109F}">
  <sheetPr codeName="Hoja3"/>
  <dimension ref="B1:P49"/>
  <sheetViews>
    <sheetView workbookViewId="0">
      <selection activeCell="I12" sqref="I12"/>
    </sheetView>
  </sheetViews>
  <sheetFormatPr baseColWidth="10" defaultRowHeight="13" x14ac:dyDescent="0.15"/>
  <cols>
    <col min="1" max="1" width="2.6640625" customWidth="1"/>
    <col min="2" max="2" width="41" customWidth="1"/>
    <col min="4" max="4" width="15.5" customWidth="1"/>
    <col min="5" max="5" width="11.5" customWidth="1"/>
    <col min="6" max="6" width="12.5" customWidth="1"/>
    <col min="7" max="7" width="13" customWidth="1"/>
    <col min="8" max="8" width="12.83203125" customWidth="1"/>
    <col min="9" max="9" width="12.33203125" customWidth="1"/>
    <col min="10" max="10" width="4.1640625" customWidth="1"/>
    <col min="11" max="11" width="22.83203125" customWidth="1"/>
    <col min="12" max="12" width="5.83203125" customWidth="1"/>
    <col min="13" max="13" width="6.1640625" customWidth="1"/>
    <col min="14" max="14" width="9.33203125" customWidth="1"/>
    <col min="15" max="15" width="7.1640625" customWidth="1"/>
    <col min="16" max="16" width="8.83203125" customWidth="1"/>
  </cols>
  <sheetData>
    <row r="1" spans="2:16" x14ac:dyDescent="0.15">
      <c r="B1" s="411" t="s">
        <v>52</v>
      </c>
      <c r="C1" s="411" t="s">
        <v>72</v>
      </c>
      <c r="D1" s="411" t="s">
        <v>276</v>
      </c>
      <c r="E1" s="412" t="s">
        <v>73</v>
      </c>
      <c r="F1" s="412" t="s">
        <v>74</v>
      </c>
      <c r="G1" s="412" t="s">
        <v>75</v>
      </c>
      <c r="H1" s="410" t="s">
        <v>76</v>
      </c>
      <c r="I1" s="231" t="s">
        <v>71</v>
      </c>
    </row>
    <row r="2" spans="2:16" x14ac:dyDescent="0.15">
      <c r="B2" s="411"/>
      <c r="C2" s="411"/>
      <c r="D2" s="411"/>
      <c r="E2" s="412"/>
      <c r="F2" s="412"/>
      <c r="G2" s="412"/>
      <c r="H2" s="410"/>
      <c r="I2" s="232" t="s">
        <v>77</v>
      </c>
    </row>
    <row r="3" spans="2:16" ht="14" x14ac:dyDescent="0.15">
      <c r="B3" s="233" t="s">
        <v>51</v>
      </c>
      <c r="C3" s="234">
        <v>16000</v>
      </c>
      <c r="D3" s="235">
        <f t="shared" ref="D3:D9" si="0">C3/5</f>
        <v>3200</v>
      </c>
      <c r="E3" s="236">
        <v>25</v>
      </c>
      <c r="F3" s="237">
        <v>760</v>
      </c>
      <c r="G3" s="238">
        <f>(D3-F3)/E3</f>
        <v>97.6</v>
      </c>
      <c r="H3" s="239">
        <v>1.3679999999999999</v>
      </c>
      <c r="I3" s="240">
        <f t="shared" ref="I3:I8" si="1">G3+H3</f>
        <v>98.967999999999989</v>
      </c>
    </row>
    <row r="4" spans="2:16" ht="14" x14ac:dyDescent="0.15">
      <c r="B4" s="233" t="s">
        <v>53</v>
      </c>
      <c r="C4" s="241">
        <v>13125</v>
      </c>
      <c r="D4" s="235">
        <f t="shared" si="0"/>
        <v>2625</v>
      </c>
      <c r="E4" s="236">
        <v>15</v>
      </c>
      <c r="F4" s="237">
        <v>0</v>
      </c>
      <c r="G4" s="238">
        <f t="shared" ref="G4:G9" si="2">(D4-F4)/E4</f>
        <v>175</v>
      </c>
      <c r="H4" s="242">
        <v>2.625</v>
      </c>
      <c r="I4" s="243">
        <f t="shared" si="1"/>
        <v>177.625</v>
      </c>
    </row>
    <row r="5" spans="2:16" ht="14" x14ac:dyDescent="0.15">
      <c r="B5" s="233" t="s">
        <v>59</v>
      </c>
      <c r="C5" s="234">
        <v>7473</v>
      </c>
      <c r="D5" s="235">
        <f t="shared" si="0"/>
        <v>1494.6</v>
      </c>
      <c r="E5" s="236">
        <v>10</v>
      </c>
      <c r="F5" s="237">
        <v>0</v>
      </c>
      <c r="G5" s="238">
        <f t="shared" si="2"/>
        <v>149.45999999999998</v>
      </c>
      <c r="H5" s="239">
        <v>2</v>
      </c>
      <c r="I5" s="243">
        <f t="shared" si="1"/>
        <v>151.45999999999998</v>
      </c>
    </row>
    <row r="6" spans="2:16" ht="14" x14ac:dyDescent="0.15">
      <c r="B6" s="233" t="s">
        <v>68</v>
      </c>
      <c r="C6" s="234">
        <v>16988</v>
      </c>
      <c r="D6" s="235">
        <f t="shared" si="0"/>
        <v>3397.6</v>
      </c>
      <c r="E6" s="236">
        <v>22</v>
      </c>
      <c r="F6" s="237">
        <v>0</v>
      </c>
      <c r="G6" s="238">
        <f t="shared" si="2"/>
        <v>154.43636363636364</v>
      </c>
      <c r="H6" s="242">
        <v>1.5</v>
      </c>
      <c r="I6" s="243">
        <f t="shared" si="1"/>
        <v>155.93636363636364</v>
      </c>
      <c r="K6" s="33" t="s">
        <v>134</v>
      </c>
    </row>
    <row r="7" spans="2:16" ht="14" x14ac:dyDescent="0.15">
      <c r="B7" s="233" t="s">
        <v>69</v>
      </c>
      <c r="C7" s="234">
        <v>625</v>
      </c>
      <c r="D7" s="235">
        <f t="shared" si="0"/>
        <v>125</v>
      </c>
      <c r="E7" s="236">
        <v>5</v>
      </c>
      <c r="F7" s="237">
        <v>0</v>
      </c>
      <c r="G7" s="238">
        <f t="shared" si="2"/>
        <v>25</v>
      </c>
      <c r="H7" s="239">
        <v>0.4</v>
      </c>
      <c r="I7" s="243">
        <f t="shared" si="1"/>
        <v>25.4</v>
      </c>
    </row>
    <row r="8" spans="2:16" ht="14" x14ac:dyDescent="0.15">
      <c r="B8" s="233" t="s">
        <v>70</v>
      </c>
      <c r="C8" s="234">
        <v>19451</v>
      </c>
      <c r="D8" s="235">
        <f t="shared" si="0"/>
        <v>3890.2</v>
      </c>
      <c r="E8" s="236">
        <v>30</v>
      </c>
      <c r="F8" s="238">
        <v>857.08350000000007</v>
      </c>
      <c r="G8" s="238">
        <f t="shared" si="2"/>
        <v>101.10388333333331</v>
      </c>
      <c r="H8" s="239">
        <v>1.4</v>
      </c>
      <c r="I8" s="243">
        <f t="shared" si="1"/>
        <v>102.50388333333332</v>
      </c>
    </row>
    <row r="9" spans="2:16" ht="14" x14ac:dyDescent="0.15">
      <c r="B9" s="233" t="s">
        <v>133</v>
      </c>
      <c r="C9" s="244">
        <v>8627.5</v>
      </c>
      <c r="D9" s="235">
        <f t="shared" si="0"/>
        <v>1725.5</v>
      </c>
      <c r="E9" s="236">
        <v>10</v>
      </c>
      <c r="F9" s="238">
        <v>0</v>
      </c>
      <c r="G9" s="238">
        <f t="shared" si="2"/>
        <v>172.55</v>
      </c>
      <c r="H9" s="242">
        <v>2.4750000000000001</v>
      </c>
      <c r="I9" s="243">
        <f>G9+H9</f>
        <v>175.02500000000001</v>
      </c>
    </row>
    <row r="10" spans="2:16" ht="14" x14ac:dyDescent="0.15">
      <c r="B10" s="2"/>
      <c r="C10" s="228">
        <f>SUM(C3:C9)</f>
        <v>82289.5</v>
      </c>
      <c r="D10" s="245">
        <f>C10/5</f>
        <v>16457.900000000001</v>
      </c>
      <c r="I10" s="246">
        <f>SUM(I3:I9)</f>
        <v>886.91824696969684</v>
      </c>
    </row>
    <row r="11" spans="2:16" x14ac:dyDescent="0.15">
      <c r="B11" s="2"/>
      <c r="C11" s="2"/>
    </row>
    <row r="12" spans="2:16" x14ac:dyDescent="0.15">
      <c r="B12" s="2"/>
      <c r="C12" s="2"/>
    </row>
    <row r="13" spans="2:16" x14ac:dyDescent="0.15">
      <c r="B13" s="2"/>
      <c r="C13" s="2"/>
    </row>
    <row r="14" spans="2:16" x14ac:dyDescent="0.15">
      <c r="I14" s="7"/>
      <c r="J14" s="8"/>
      <c r="K14" s="9"/>
      <c r="L14" s="9"/>
      <c r="M14" s="10"/>
      <c r="N14" s="9"/>
      <c r="O14" s="9"/>
      <c r="P14" s="9"/>
    </row>
    <row r="15" spans="2:16" x14ac:dyDescent="0.15">
      <c r="I15" s="7"/>
      <c r="J15" s="8"/>
      <c r="K15" s="9"/>
      <c r="L15" s="9"/>
      <c r="M15" s="10"/>
      <c r="N15" s="9"/>
      <c r="O15" s="9"/>
      <c r="P15" s="9"/>
    </row>
    <row r="16" spans="2:16" x14ac:dyDescent="0.15">
      <c r="I16" s="7"/>
      <c r="J16" s="8"/>
      <c r="K16" s="9"/>
      <c r="L16" s="9"/>
      <c r="M16" s="10"/>
      <c r="N16" s="9"/>
      <c r="O16" s="9"/>
      <c r="P16" s="9"/>
    </row>
    <row r="17" spans="2:16" x14ac:dyDescent="0.15">
      <c r="I17" s="7"/>
      <c r="J17" s="8"/>
      <c r="K17" s="9"/>
      <c r="L17" s="9"/>
      <c r="M17" s="10"/>
      <c r="N17" s="9"/>
      <c r="O17" s="9"/>
      <c r="P17" s="9"/>
    </row>
    <row r="18" spans="2:16" x14ac:dyDescent="0.15">
      <c r="I18" s="11"/>
      <c r="J18" s="11"/>
      <c r="K18" s="12"/>
      <c r="L18" s="9"/>
      <c r="M18" s="13"/>
      <c r="N18" s="14"/>
      <c r="O18" s="14"/>
      <c r="P18" s="14"/>
    </row>
    <row r="20" spans="2:16" x14ac:dyDescent="0.15">
      <c r="B20" s="28"/>
      <c r="C20" s="28"/>
      <c r="D20" s="28"/>
    </row>
    <row r="21" spans="2:16" x14ac:dyDescent="0.15">
      <c r="B21" s="409" t="s">
        <v>65</v>
      </c>
      <c r="C21" s="409"/>
      <c r="D21" s="28"/>
    </row>
    <row r="22" spans="2:16" x14ac:dyDescent="0.15">
      <c r="B22" s="248" t="s">
        <v>54</v>
      </c>
      <c r="C22" s="249">
        <v>294</v>
      </c>
      <c r="D22" s="30"/>
    </row>
    <row r="23" spans="2:16" x14ac:dyDescent="0.15">
      <c r="B23" s="248" t="s">
        <v>55</v>
      </c>
      <c r="C23" s="249">
        <v>337.5</v>
      </c>
      <c r="D23" s="30"/>
    </row>
    <row r="24" spans="2:16" x14ac:dyDescent="0.15">
      <c r="B24" s="248" t="s">
        <v>56</v>
      </c>
      <c r="C24" s="249">
        <v>185</v>
      </c>
      <c r="D24" s="30"/>
    </row>
    <row r="25" spans="2:16" x14ac:dyDescent="0.15">
      <c r="B25" s="248" t="s">
        <v>57</v>
      </c>
      <c r="C25" s="249">
        <v>429</v>
      </c>
      <c r="D25" s="33" t="s">
        <v>135</v>
      </c>
    </row>
    <row r="26" spans="2:16" x14ac:dyDescent="0.15">
      <c r="B26" s="248" t="s">
        <v>58</v>
      </c>
      <c r="C26" s="249">
        <v>249.1</v>
      </c>
      <c r="D26" s="30"/>
    </row>
    <row r="27" spans="2:16" x14ac:dyDescent="0.15">
      <c r="B27" s="167"/>
      <c r="C27" s="250">
        <f>SUM(C22:C26)</f>
        <v>1494.6</v>
      </c>
      <c r="D27" s="31"/>
    </row>
    <row r="28" spans="2:16" x14ac:dyDescent="0.15">
      <c r="B28" s="28"/>
      <c r="C28" s="28"/>
      <c r="D28" s="28"/>
    </row>
    <row r="29" spans="2:16" x14ac:dyDescent="0.15">
      <c r="B29" s="28"/>
      <c r="C29" s="28"/>
      <c r="D29" s="28"/>
    </row>
    <row r="30" spans="2:16" x14ac:dyDescent="0.15">
      <c r="B30" s="409" t="s">
        <v>66</v>
      </c>
      <c r="C30" s="409"/>
      <c r="D30" s="28"/>
    </row>
    <row r="31" spans="2:16" x14ac:dyDescent="0.15">
      <c r="B31" s="248" t="s">
        <v>60</v>
      </c>
      <c r="C31" s="346">
        <v>350</v>
      </c>
      <c r="D31" s="28"/>
    </row>
    <row r="32" spans="2:16" x14ac:dyDescent="0.15">
      <c r="B32" s="248" t="s">
        <v>61</v>
      </c>
      <c r="C32" s="347">
        <v>115</v>
      </c>
      <c r="D32" s="28"/>
    </row>
    <row r="33" spans="2:4" x14ac:dyDescent="0.15">
      <c r="B33" s="248" t="s">
        <v>62</v>
      </c>
      <c r="C33" s="347">
        <v>59.25</v>
      </c>
      <c r="D33" s="28"/>
    </row>
    <row r="34" spans="2:4" x14ac:dyDescent="0.15">
      <c r="B34" s="248" t="s">
        <v>125</v>
      </c>
      <c r="C34" s="348">
        <v>644</v>
      </c>
      <c r="D34" s="33" t="s">
        <v>131</v>
      </c>
    </row>
    <row r="35" spans="2:4" x14ac:dyDescent="0.15">
      <c r="B35" s="248" t="s">
        <v>130</v>
      </c>
      <c r="C35" s="348">
        <v>269.5</v>
      </c>
      <c r="D35" s="33" t="s">
        <v>131</v>
      </c>
    </row>
    <row r="36" spans="2:4" x14ac:dyDescent="0.15">
      <c r="B36" s="248" t="s">
        <v>63</v>
      </c>
      <c r="C36" s="349">
        <v>79.2</v>
      </c>
      <c r="D36" s="28"/>
    </row>
    <row r="37" spans="2:4" x14ac:dyDescent="0.15">
      <c r="B37" s="248" t="s">
        <v>64</v>
      </c>
      <c r="C37" s="349">
        <v>164.6</v>
      </c>
      <c r="D37" s="28"/>
    </row>
    <row r="38" spans="2:4" x14ac:dyDescent="0.15">
      <c r="B38" s="248" t="s">
        <v>67</v>
      </c>
      <c r="C38" s="350">
        <v>1716</v>
      </c>
      <c r="D38" s="28"/>
    </row>
    <row r="39" spans="2:4" x14ac:dyDescent="0.15">
      <c r="B39" s="32"/>
      <c r="C39" s="250">
        <f>SUM(C31:C38)</f>
        <v>3397.55</v>
      </c>
      <c r="D39" s="28"/>
    </row>
    <row r="40" spans="2:4" x14ac:dyDescent="0.15">
      <c r="B40" s="29"/>
      <c r="C40" s="28"/>
      <c r="D40" s="28"/>
    </row>
    <row r="41" spans="2:4" x14ac:dyDescent="0.15">
      <c r="B41" s="3"/>
    </row>
    <row r="42" spans="2:4" x14ac:dyDescent="0.15">
      <c r="B42" s="409" t="s">
        <v>132</v>
      </c>
      <c r="C42" s="409"/>
    </row>
    <row r="43" spans="2:4" x14ac:dyDescent="0.15">
      <c r="B43" s="251" t="s">
        <v>126</v>
      </c>
      <c r="C43" s="252">
        <v>133</v>
      </c>
      <c r="D43" s="253" t="s">
        <v>127</v>
      </c>
    </row>
    <row r="44" spans="2:4" x14ac:dyDescent="0.15">
      <c r="B44" s="251" t="s">
        <v>128</v>
      </c>
      <c r="C44" s="252">
        <v>1592.5</v>
      </c>
      <c r="D44" s="253" t="s">
        <v>129</v>
      </c>
    </row>
    <row r="45" spans="2:4" x14ac:dyDescent="0.15">
      <c r="B45" s="254"/>
      <c r="C45" s="255">
        <f>SUM(C43:C44)</f>
        <v>1725.5</v>
      </c>
    </row>
    <row r="46" spans="2:4" x14ac:dyDescent="0.15">
      <c r="B46" s="29"/>
      <c r="C46" s="30"/>
    </row>
    <row r="49" spans="2:2" x14ac:dyDescent="0.15">
      <c r="B49" s="29"/>
    </row>
  </sheetData>
  <sheetProtection password="CDAD" sheet="1"/>
  <mergeCells count="10">
    <mergeCell ref="B42:C42"/>
    <mergeCell ref="B21:C21"/>
    <mergeCell ref="H1:H2"/>
    <mergeCell ref="B1:B2"/>
    <mergeCell ref="C1:C2"/>
    <mergeCell ref="D1:D2"/>
    <mergeCell ref="E1:E2"/>
    <mergeCell ref="F1:F2"/>
    <mergeCell ref="G1:G2"/>
    <mergeCell ref="B30:C30"/>
  </mergeCells>
  <phoneticPr fontId="8"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AD7AE-9A1B-2F45-BEE8-27B1A52F3B15}">
  <sheetPr codeName="Hoja4"/>
  <dimension ref="B2:O34"/>
  <sheetViews>
    <sheetView workbookViewId="0">
      <selection activeCell="H24" sqref="H24:H25"/>
    </sheetView>
  </sheetViews>
  <sheetFormatPr baseColWidth="10" defaultRowHeight="13" x14ac:dyDescent="0.15"/>
  <cols>
    <col min="1" max="1" width="3.5" customWidth="1"/>
    <col min="2" max="2" width="35.5" customWidth="1"/>
    <col min="4" max="4" width="3.5" customWidth="1"/>
    <col min="5" max="5" width="9.5" customWidth="1"/>
    <col min="6" max="7" width="7.83203125" customWidth="1"/>
    <col min="8" max="8" width="20.33203125" customWidth="1"/>
    <col min="9" max="9" width="13.5" bestFit="1" customWidth="1"/>
    <col min="10" max="10" width="20.1640625" customWidth="1"/>
    <col min="11" max="11" width="15.5" customWidth="1"/>
  </cols>
  <sheetData>
    <row r="2" spans="2:14" ht="14" x14ac:dyDescent="0.15">
      <c r="B2" s="256" t="s">
        <v>281</v>
      </c>
      <c r="C2" s="167"/>
      <c r="D2" s="167"/>
      <c r="E2" s="167"/>
      <c r="F2" s="257">
        <v>1.0149999999999999</v>
      </c>
      <c r="H2" s="271" t="s">
        <v>93</v>
      </c>
      <c r="I2" s="272">
        <v>5</v>
      </c>
      <c r="K2" s="271" t="s">
        <v>109</v>
      </c>
      <c r="L2" s="280"/>
    </row>
    <row r="3" spans="2:14" x14ac:dyDescent="0.15">
      <c r="B3" s="167"/>
      <c r="C3" s="167"/>
      <c r="D3" s="167"/>
      <c r="E3" s="167"/>
      <c r="F3" s="167"/>
      <c r="H3" s="273" t="s">
        <v>97</v>
      </c>
      <c r="I3" s="274">
        <f>costes0!D2-COSTES!C4-COSTES!C13</f>
        <v>2757.2465943303032</v>
      </c>
      <c r="K3" s="273" t="s">
        <v>111</v>
      </c>
      <c r="L3" s="281">
        <f>costes0!D2/costes0!C22</f>
        <v>2.4247368421052631</v>
      </c>
    </row>
    <row r="4" spans="2:14" x14ac:dyDescent="0.15">
      <c r="B4" s="258" t="s">
        <v>78</v>
      </c>
      <c r="C4" s="259">
        <f>Inversión!I10</f>
        <v>886.91824696969684</v>
      </c>
      <c r="D4" s="167"/>
      <c r="E4" s="260">
        <f>SUM(E5:E11)</f>
        <v>8.0164318061824252E-2</v>
      </c>
      <c r="F4" s="167"/>
      <c r="H4" s="273" t="s">
        <v>100</v>
      </c>
      <c r="I4" s="275">
        <f>I3/C13</f>
        <v>0.27093360080350531</v>
      </c>
      <c r="K4" s="273" t="s">
        <v>108</v>
      </c>
      <c r="L4" s="281">
        <f>costes0!C3/costes0!C22</f>
        <v>7.4561403508771926</v>
      </c>
    </row>
    <row r="5" spans="2:14" x14ac:dyDescent="0.15">
      <c r="B5" s="191" t="s">
        <v>79</v>
      </c>
      <c r="C5" s="261">
        <f>Inversión!I3</f>
        <v>98.967999999999989</v>
      </c>
      <c r="D5" s="167"/>
      <c r="E5" s="262">
        <f t="shared" ref="E5:E10" si="0">C5/$C$27</f>
        <v>8.945246370845825E-3</v>
      </c>
      <c r="F5" s="167"/>
      <c r="H5" s="273" t="s">
        <v>98</v>
      </c>
      <c r="I5" s="275">
        <f>I3/C27</f>
        <v>0.24921439345505778</v>
      </c>
      <c r="K5" s="273" t="s">
        <v>110</v>
      </c>
      <c r="L5" s="281">
        <f>I3/costes0!C22</f>
        <v>0.48372747268952687</v>
      </c>
    </row>
    <row r="6" spans="2:14" x14ac:dyDescent="0.15">
      <c r="B6" s="191" t="s">
        <v>80</v>
      </c>
      <c r="C6" s="261">
        <f>Inversión!I4</f>
        <v>177.625</v>
      </c>
      <c r="D6" s="167"/>
      <c r="E6" s="262">
        <f t="shared" si="0"/>
        <v>1.6054678144667871E-2</v>
      </c>
      <c r="F6" s="167"/>
      <c r="H6" s="273" t="s">
        <v>99</v>
      </c>
      <c r="I6" s="275">
        <f>I3/Inversión!D10</f>
        <v>0.16753331800109997</v>
      </c>
      <c r="K6" s="273" t="s">
        <v>112</v>
      </c>
      <c r="L6" s="274"/>
    </row>
    <row r="7" spans="2:14" x14ac:dyDescent="0.15">
      <c r="B7" s="191" t="s">
        <v>59</v>
      </c>
      <c r="C7" s="261">
        <f>Inversión!I5</f>
        <v>151.45999999999998</v>
      </c>
      <c r="D7" s="167"/>
      <c r="E7" s="262">
        <f>C7/$C$27</f>
        <v>1.3689748356320312E-2</v>
      </c>
      <c r="F7" s="167"/>
      <c r="H7" s="273" t="s">
        <v>107</v>
      </c>
      <c r="I7" s="276">
        <f>C27/costes0!C6</f>
        <v>30732.648349082494</v>
      </c>
      <c r="K7" s="273" t="s">
        <v>94</v>
      </c>
      <c r="L7" s="280"/>
    </row>
    <row r="8" spans="2:14" ht="16" x14ac:dyDescent="0.15">
      <c r="B8" s="191" t="s">
        <v>68</v>
      </c>
      <c r="C8" s="261">
        <f>Inversión!I6</f>
        <v>155.93636363636364</v>
      </c>
      <c r="D8" s="167"/>
      <c r="E8" s="262">
        <f t="shared" si="0"/>
        <v>1.409434555513981E-2</v>
      </c>
      <c r="F8" s="167"/>
      <c r="H8" s="273" t="s">
        <v>105</v>
      </c>
      <c r="I8" s="277">
        <f>C27/costes0!C3</f>
        <v>0.26032360954516931</v>
      </c>
      <c r="K8" s="273" t="s">
        <v>113</v>
      </c>
      <c r="L8" s="280"/>
    </row>
    <row r="9" spans="2:14" x14ac:dyDescent="0.15">
      <c r="B9" s="191" t="s">
        <v>69</v>
      </c>
      <c r="C9" s="261">
        <f>Inversión!I7</f>
        <v>25.4</v>
      </c>
      <c r="D9" s="167"/>
      <c r="E9" s="262">
        <f t="shared" si="0"/>
        <v>2.2957850802227384E-3</v>
      </c>
      <c r="F9" s="167"/>
      <c r="H9" s="273" t="s">
        <v>106</v>
      </c>
      <c r="I9" s="278">
        <f>(COSTES!I7/costes0!C3)*COSTES!I2</f>
        <v>3.6156056881273524</v>
      </c>
      <c r="K9" s="273" t="s">
        <v>95</v>
      </c>
      <c r="L9" s="282">
        <v>0.5</v>
      </c>
    </row>
    <row r="10" spans="2:14" x14ac:dyDescent="0.15">
      <c r="B10" s="191" t="s">
        <v>70</v>
      </c>
      <c r="C10" s="261">
        <f>Inversión!I8</f>
        <v>102.50388333333332</v>
      </c>
      <c r="D10" s="167"/>
      <c r="E10" s="262">
        <f t="shared" si="0"/>
        <v>9.2648380323448361E-3</v>
      </c>
      <c r="F10" s="167"/>
      <c r="H10" s="273" t="s">
        <v>101</v>
      </c>
      <c r="I10" s="279"/>
      <c r="K10" s="19"/>
    </row>
    <row r="11" spans="2:14" x14ac:dyDescent="0.15">
      <c r="B11" s="191" t="s">
        <v>144</v>
      </c>
      <c r="C11" s="261">
        <f>Inversión!I9</f>
        <v>175.02500000000001</v>
      </c>
      <c r="D11" s="167"/>
      <c r="E11" s="262">
        <f>C11/$C$27</f>
        <v>1.5819676522282868E-2</v>
      </c>
      <c r="F11" s="167"/>
      <c r="H11" s="273" t="s">
        <v>102</v>
      </c>
      <c r="I11" s="279"/>
      <c r="K11" s="19"/>
    </row>
    <row r="12" spans="2:14" x14ac:dyDescent="0.15">
      <c r="B12" s="1"/>
      <c r="C12" s="1"/>
      <c r="E12" s="1"/>
      <c r="H12" s="273" t="s">
        <v>103</v>
      </c>
      <c r="I12" s="279"/>
      <c r="K12" s="19"/>
    </row>
    <row r="13" spans="2:14" x14ac:dyDescent="0.15">
      <c r="B13" s="263" t="s">
        <v>81</v>
      </c>
      <c r="C13" s="259">
        <f>SUM(C14:C25)</f>
        <v>10176.8351587</v>
      </c>
      <c r="D13" s="167"/>
      <c r="E13" s="260">
        <f>SUM(E14:E25)</f>
        <v>0.91983568193817566</v>
      </c>
      <c r="H13" s="273" t="s">
        <v>104</v>
      </c>
      <c r="I13" s="279"/>
      <c r="K13" s="19"/>
      <c r="M13" s="21"/>
      <c r="N13" s="6"/>
    </row>
    <row r="14" spans="2:14" x14ac:dyDescent="0.15">
      <c r="B14" s="191" t="s">
        <v>82</v>
      </c>
      <c r="C14" s="261">
        <f>costes0!C45*F2</f>
        <v>1103.1019999999999</v>
      </c>
      <c r="D14" s="167"/>
      <c r="E14" s="262">
        <f>C14/$C$27</f>
        <v>9.9704138329285943E-2</v>
      </c>
      <c r="I14" s="23"/>
      <c r="K14" s="19"/>
      <c r="L14" s="20"/>
      <c r="M14" s="21"/>
      <c r="N14" s="6"/>
    </row>
    <row r="15" spans="2:14" x14ac:dyDescent="0.15">
      <c r="B15" s="191" t="s">
        <v>121</v>
      </c>
      <c r="C15" s="261">
        <f>costes0!C21*F2</f>
        <v>797.18100000000004</v>
      </c>
      <c r="D15" s="167"/>
      <c r="E15" s="262">
        <f>C15/$C$27</f>
        <v>7.2053395513269405E-2</v>
      </c>
      <c r="H15" s="19"/>
      <c r="I15" s="23"/>
      <c r="K15" s="19"/>
      <c r="L15" s="20"/>
      <c r="M15" s="21"/>
      <c r="N15" s="6"/>
    </row>
    <row r="16" spans="2:14" x14ac:dyDescent="0.15">
      <c r="B16" s="191" t="s">
        <v>83</v>
      </c>
      <c r="C16" s="261">
        <f>(costes0!D28+costes0!C46+costes0!C47+costes0!C48+costes0!C49)*F2</f>
        <v>463.98187499999995</v>
      </c>
      <c r="D16" s="167"/>
      <c r="E16" s="262">
        <f t="shared" ref="E16:E23" si="1">C16/$C$27</f>
        <v>4.1937112839321708E-2</v>
      </c>
      <c r="I16" s="23"/>
      <c r="K16" s="19"/>
      <c r="L16" s="20"/>
      <c r="M16" s="21"/>
      <c r="N16" s="6"/>
    </row>
    <row r="17" spans="2:15" x14ac:dyDescent="0.15">
      <c r="B17" s="191" t="s">
        <v>84</v>
      </c>
      <c r="C17" s="261">
        <f>costes0!C17*F2</f>
        <v>217.71749999999997</v>
      </c>
      <c r="D17" s="167"/>
      <c r="E17" s="262">
        <f t="shared" si="1"/>
        <v>1.9678448354464331E-2</v>
      </c>
      <c r="K17" s="19"/>
      <c r="M17" s="21"/>
      <c r="N17" s="5"/>
    </row>
    <row r="18" spans="2:15" x14ac:dyDescent="0.15">
      <c r="B18" s="191" t="s">
        <v>85</v>
      </c>
      <c r="C18" s="261">
        <f>costes0!C15*F2</f>
        <v>2352.9628499999999</v>
      </c>
      <c r="D18" s="167"/>
      <c r="E18" s="262">
        <f t="shared" si="1"/>
        <v>0.21267311044678633</v>
      </c>
      <c r="H18" s="283">
        <f>C18/costes0!C5</f>
        <v>6.2913445187165767E-2</v>
      </c>
      <c r="K18" s="19"/>
      <c r="M18" s="22"/>
      <c r="N18" s="6"/>
    </row>
    <row r="19" spans="2:15" x14ac:dyDescent="0.15">
      <c r="B19" s="191" t="s">
        <v>143</v>
      </c>
      <c r="C19" s="261">
        <f>(costes0!C18*costes0!C19*costes0!C20)*F2</f>
        <v>675.48249999999996</v>
      </c>
      <c r="D19" s="167"/>
      <c r="E19" s="262">
        <f t="shared" si="1"/>
        <v>6.1053647458722667E-2</v>
      </c>
      <c r="H19" s="284" t="s">
        <v>96</v>
      </c>
      <c r="K19" s="19"/>
      <c r="M19" s="21"/>
      <c r="N19" s="6"/>
    </row>
    <row r="20" spans="2:15" x14ac:dyDescent="0.15">
      <c r="B20" s="191" t="s">
        <v>86</v>
      </c>
      <c r="C20" s="261">
        <f>0.015*(Inversión!D3+Inversión!D4+Inversión!D5)*F2</f>
        <v>111.44090999999999</v>
      </c>
      <c r="D20" s="167"/>
      <c r="E20" s="262">
        <f t="shared" si="1"/>
        <v>1.0072613326946651E-2</v>
      </c>
      <c r="J20" s="37" t="s">
        <v>145</v>
      </c>
      <c r="K20" s="37" t="s">
        <v>146</v>
      </c>
      <c r="L20" s="37" t="s">
        <v>147</v>
      </c>
      <c r="M20" s="37" t="s">
        <v>148</v>
      </c>
      <c r="N20" s="37" t="s">
        <v>149</v>
      </c>
      <c r="O20" s="37" t="s">
        <v>149</v>
      </c>
    </row>
    <row r="21" spans="2:15" x14ac:dyDescent="0.15">
      <c r="B21" s="191" t="s">
        <v>87</v>
      </c>
      <c r="C21" s="261">
        <v>0</v>
      </c>
      <c r="D21" s="167"/>
      <c r="E21" s="262">
        <f t="shared" si="1"/>
        <v>0</v>
      </c>
      <c r="J21" s="37" t="s">
        <v>71</v>
      </c>
      <c r="K21" s="38">
        <f>C27</f>
        <v>11063.753405669697</v>
      </c>
      <c r="L21" s="38">
        <v>8600.4481077348482</v>
      </c>
      <c r="M21" s="38">
        <f>K21-L21</f>
        <v>2463.3052979348486</v>
      </c>
      <c r="N21" s="39">
        <f>K21/L21</f>
        <v>1.2864159247376268</v>
      </c>
      <c r="O21" s="40">
        <f>N21-1</f>
        <v>0.28641592473762678</v>
      </c>
    </row>
    <row r="22" spans="2:15" x14ac:dyDescent="0.15">
      <c r="B22" s="191" t="s">
        <v>88</v>
      </c>
      <c r="C22" s="261">
        <f>costes0!C24*F2</f>
        <v>212.26652370000008</v>
      </c>
      <c r="D22" s="167"/>
      <c r="E22" s="262">
        <f t="shared" si="1"/>
        <v>1.9185760556740414E-2</v>
      </c>
      <c r="J22" s="37" t="s">
        <v>150</v>
      </c>
      <c r="K22" s="39">
        <f>C31</f>
        <v>0.29582228357405604</v>
      </c>
      <c r="L22" s="39">
        <v>0.20774029245736347</v>
      </c>
      <c r="M22" s="41">
        <f>K22-L22</f>
        <v>8.8081991116692571E-2</v>
      </c>
      <c r="N22" s="39">
        <f>K22/L22</f>
        <v>1.4240005156186564</v>
      </c>
      <c r="O22" s="40">
        <f>N22-1</f>
        <v>0.42400051561865637</v>
      </c>
    </row>
    <row r="23" spans="2:15" x14ac:dyDescent="0.15">
      <c r="B23" s="191" t="s">
        <v>91</v>
      </c>
      <c r="C23" s="261">
        <f>(costes0!C22*costes0!C23)*F2</f>
        <v>2024.9249999999995</v>
      </c>
      <c r="D23" s="167"/>
      <c r="E23" s="262">
        <f t="shared" si="1"/>
        <v>0.18302333084921368</v>
      </c>
      <c r="H23" s="285">
        <f>(C22+C23)/costes0!C5</f>
        <v>5.9817955179144365E-2</v>
      </c>
      <c r="J23" s="37" t="s">
        <v>151</v>
      </c>
      <c r="K23" s="38">
        <f>costes0!C5</f>
        <v>37400</v>
      </c>
      <c r="L23" s="38">
        <v>41400</v>
      </c>
      <c r="M23" s="38">
        <f>K23-L23</f>
        <v>-4000</v>
      </c>
      <c r="N23" s="39">
        <f>K23/L23</f>
        <v>0.90338164251207731</v>
      </c>
      <c r="O23" s="40">
        <f>N23-1</f>
        <v>-9.661835748792269E-2</v>
      </c>
    </row>
    <row r="24" spans="2:15" x14ac:dyDescent="0.15">
      <c r="B24" s="191" t="s">
        <v>90</v>
      </c>
      <c r="C24" s="261">
        <v>0</v>
      </c>
      <c r="D24" s="167"/>
      <c r="E24" s="262">
        <f>C24/$C$27</f>
        <v>0</v>
      </c>
      <c r="H24" s="286" t="s">
        <v>122</v>
      </c>
    </row>
    <row r="25" spans="2:15" x14ac:dyDescent="0.15">
      <c r="B25" s="191" t="s">
        <v>89</v>
      </c>
      <c r="C25" s="261">
        <f>costes0!C52*F2</f>
        <v>2217.7749999999996</v>
      </c>
      <c r="D25" s="167"/>
      <c r="E25" s="262">
        <f>C25/$C$27</f>
        <v>0.20045412426342452</v>
      </c>
    </row>
    <row r="26" spans="2:15" x14ac:dyDescent="0.15">
      <c r="B26" s="181"/>
      <c r="C26" s="264"/>
      <c r="D26" s="167"/>
      <c r="E26" s="167"/>
    </row>
    <row r="27" spans="2:15" ht="14" x14ac:dyDescent="0.15">
      <c r="B27" s="265" t="s">
        <v>92</v>
      </c>
      <c r="C27" s="266">
        <f>C4+C13</f>
        <v>11063.753405669697</v>
      </c>
      <c r="D27" s="167"/>
      <c r="E27" s="267">
        <f>C27/$C$27</f>
        <v>1</v>
      </c>
    </row>
    <row r="28" spans="2:15" x14ac:dyDescent="0.15">
      <c r="B28" s="268"/>
      <c r="C28" s="264"/>
      <c r="D28" s="167"/>
      <c r="E28" s="167"/>
      <c r="F28" s="5"/>
    </row>
    <row r="29" spans="2:15" x14ac:dyDescent="0.15">
      <c r="B29" s="167"/>
      <c r="C29" s="264"/>
      <c r="D29" s="264"/>
      <c r="E29" s="167"/>
      <c r="F29" s="5"/>
    </row>
    <row r="30" spans="2:15" x14ac:dyDescent="0.15">
      <c r="B30" s="167"/>
      <c r="C30" s="269" t="s">
        <v>120</v>
      </c>
      <c r="D30" s="264"/>
      <c r="E30" s="167"/>
      <c r="F30" s="16"/>
    </row>
    <row r="31" spans="2:15" x14ac:dyDescent="0.15">
      <c r="B31" s="167"/>
      <c r="C31" s="270">
        <f>C27/costes0!C5</f>
        <v>0.29582228357405604</v>
      </c>
      <c r="D31" s="264"/>
      <c r="E31" s="167"/>
      <c r="F31" s="5"/>
    </row>
    <row r="32" spans="2:15" x14ac:dyDescent="0.15">
      <c r="C32" s="15"/>
      <c r="D32" s="15"/>
      <c r="F32" s="17"/>
    </row>
    <row r="33" spans="2:6" x14ac:dyDescent="0.15">
      <c r="B33" s="18"/>
      <c r="C33" s="4"/>
      <c r="D33" s="15"/>
      <c r="F33" s="17"/>
    </row>
    <row r="34" spans="2:6" x14ac:dyDescent="0.15">
      <c r="B34" s="18"/>
      <c r="C34" s="27"/>
      <c r="F34" s="6"/>
    </row>
  </sheetData>
  <sheetProtection password="CDAD" sheet="1"/>
  <phoneticPr fontId="8" type="noConversion"/>
  <conditionalFormatting sqref="C13:C25 E13:E25 C27 E27 C31">
    <cfRule type="cellIs" dxfId="5" priority="5" stopIfTrue="1" operator="equal">
      <formula>0</formula>
    </cfRule>
  </conditionalFormatting>
  <conditionalFormatting sqref="F2 C4:C11 E4:E11">
    <cfRule type="cellIs" dxfId="4" priority="6" stopIfTrue="1" operator="equal">
      <formula>0</formula>
    </cfRule>
  </conditionalFormatting>
  <conditionalFormatting sqref="H18">
    <cfRule type="cellIs" dxfId="3" priority="2" stopIfTrue="1" operator="equal">
      <formula>0</formula>
    </cfRule>
  </conditionalFormatting>
  <conditionalFormatting sqref="H23">
    <cfRule type="cellIs" dxfId="2" priority="1" stopIfTrue="1" operator="equal">
      <formula>0</formula>
    </cfRule>
  </conditionalFormatting>
  <conditionalFormatting sqref="I2:I13">
    <cfRule type="cellIs" dxfId="1" priority="4" stopIfTrue="1" operator="equal">
      <formula>0</formula>
    </cfRule>
  </conditionalFormatting>
  <conditionalFormatting sqref="L3:L9">
    <cfRule type="cellIs" dxfId="0" priority="3" stopIfTrue="1" operator="equal">
      <formula>0</formula>
    </cfRule>
  </conditionalFormatting>
  <pageMargins left="0.75" right="0.75" top="1" bottom="1" header="0" footer="0"/>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E6115-3FA4-CE4C-ABCF-B3FD35CF5D74}">
  <sheetPr codeName="Hoja5"/>
  <dimension ref="A1:F9"/>
  <sheetViews>
    <sheetView workbookViewId="0"/>
  </sheetViews>
  <sheetFormatPr baseColWidth="10" defaultRowHeight="13" x14ac:dyDescent="0.15"/>
  <cols>
    <col min="1" max="1" width="21.33203125" customWidth="1"/>
    <col min="6" max="6" width="12.6640625" customWidth="1"/>
  </cols>
  <sheetData>
    <row r="1" spans="1:6" x14ac:dyDescent="0.15">
      <c r="A1" s="247" t="s">
        <v>282</v>
      </c>
      <c r="B1" s="287" t="s">
        <v>94</v>
      </c>
      <c r="C1" s="287" t="s">
        <v>114</v>
      </c>
      <c r="D1" s="287" t="s">
        <v>115</v>
      </c>
      <c r="E1" s="24"/>
    </row>
    <row r="2" spans="1:6" x14ac:dyDescent="0.15">
      <c r="A2" s="191" t="s">
        <v>116</v>
      </c>
      <c r="B2" s="230"/>
      <c r="C2" s="288">
        <f>(costes0!C52/costes0!C41)</f>
        <v>230</v>
      </c>
      <c r="D2" s="289">
        <v>0.125</v>
      </c>
      <c r="E2" s="25"/>
    </row>
    <row r="3" spans="1:6" x14ac:dyDescent="0.15">
      <c r="A3" s="191" t="s">
        <v>117</v>
      </c>
      <c r="B3" s="230"/>
      <c r="C3" s="288">
        <f>costes0!C16*costes0!C36+costes0!C29*costes0!C30+costes0!C18*costes0!C34+costes0!C32</f>
        <v>11.5</v>
      </c>
      <c r="D3" s="289">
        <v>6.114130434782609E-3</v>
      </c>
      <c r="E3" s="26"/>
    </row>
    <row r="4" spans="1:6" x14ac:dyDescent="0.15">
      <c r="A4" s="191" t="s">
        <v>118</v>
      </c>
      <c r="B4" s="230"/>
      <c r="C4" s="288">
        <f>((costes0!C51+costes0!C45)/costes0!C41)</f>
        <v>681.06666666666661</v>
      </c>
      <c r="D4" s="290">
        <v>0.36</v>
      </c>
      <c r="E4" s="291">
        <f>D2+D3+D4</f>
        <v>0.49111413043478258</v>
      </c>
      <c r="F4" s="167"/>
    </row>
    <row r="5" spans="1:6" x14ac:dyDescent="0.15">
      <c r="C5" s="292"/>
      <c r="E5" s="291">
        <f>D2+D3+((costes0!C45/costes0!C41)/costes0!H7)</f>
        <v>0.19328804347826087</v>
      </c>
      <c r="F5" s="293" t="s">
        <v>119</v>
      </c>
    </row>
    <row r="8" spans="1:6" x14ac:dyDescent="0.15">
      <c r="A8" s="294" t="s">
        <v>123</v>
      </c>
      <c r="B8" s="295">
        <f>costes0!C3/costes0!C22</f>
        <v>7.4561403508771926</v>
      </c>
    </row>
    <row r="9" spans="1:6" x14ac:dyDescent="0.15">
      <c r="A9" s="294" t="s">
        <v>124</v>
      </c>
      <c r="B9" s="296">
        <f>(E4*1000000)/costes0!C22</f>
        <v>86.16037376048817</v>
      </c>
    </row>
  </sheetData>
  <sheetProtection password="CDAD" sheet="1"/>
  <phoneticPr fontId="8" type="noConversion"/>
  <pageMargins left="0.75" right="0.75" top="1" bottom="1" header="0" footer="0"/>
  <headerFooter alignWithMargins="0"/>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D2F43-1953-104F-A683-05E92A9E2AD3}">
  <sheetPr codeName="Hoja6"/>
  <dimension ref="A1:Z30"/>
  <sheetViews>
    <sheetView workbookViewId="0">
      <selection activeCell="X16" sqref="X16"/>
    </sheetView>
  </sheetViews>
  <sheetFormatPr baseColWidth="10" defaultColWidth="9.83203125" defaultRowHeight="13" x14ac:dyDescent="0.15"/>
  <cols>
    <col min="1" max="1" width="14.1640625" style="45" customWidth="1"/>
    <col min="2" max="2" width="22.5" style="28" customWidth="1"/>
    <col min="3" max="3" width="8.5" style="28" customWidth="1"/>
    <col min="4" max="4" width="10.83203125" style="28" customWidth="1"/>
    <col min="5" max="6" width="9.33203125" style="28" customWidth="1"/>
    <col min="7" max="8" width="7.33203125" style="28" customWidth="1"/>
    <col min="9" max="9" width="7" style="28" customWidth="1"/>
    <col min="10" max="10" width="11.5" style="28" customWidth="1"/>
    <col min="11" max="11" width="10.5" style="28" customWidth="1"/>
    <col min="12" max="12" width="9" style="28" customWidth="1"/>
    <col min="13" max="13" width="10.33203125" style="28" customWidth="1"/>
    <col min="14" max="14" width="8.1640625" style="28" customWidth="1"/>
    <col min="15" max="15" width="8.83203125" style="28" customWidth="1"/>
    <col min="16" max="16" width="15.5" style="28" customWidth="1"/>
    <col min="17" max="17" width="4.33203125" style="28" customWidth="1"/>
    <col min="18" max="19" width="4.83203125" style="28" customWidth="1"/>
    <col min="20" max="20" width="3.6640625" style="28" customWidth="1"/>
    <col min="21" max="21" width="23.5" style="28" customWidth="1"/>
    <col min="22" max="22" width="9.83203125" style="28"/>
    <col min="23" max="23" width="12.33203125" style="28" customWidth="1"/>
    <col min="24" max="24" width="11.5" style="28" customWidth="1"/>
    <col min="25" max="25" width="6.5" style="28" customWidth="1"/>
    <col min="26" max="26" width="11.5" style="28" customWidth="1"/>
    <col min="27" max="16384" width="9.83203125" style="28"/>
  </cols>
  <sheetData>
    <row r="1" spans="1:22" x14ac:dyDescent="0.15">
      <c r="C1" s="52" t="s">
        <v>198</v>
      </c>
      <c r="P1"/>
      <c r="U1" s="247" t="s">
        <v>282</v>
      </c>
    </row>
    <row r="2" spans="1:22" x14ac:dyDescent="0.15">
      <c r="A2" s="297" t="s">
        <v>197</v>
      </c>
      <c r="B2" s="53" t="s">
        <v>199</v>
      </c>
      <c r="C2" s="42">
        <f>20000</f>
        <v>20000</v>
      </c>
      <c r="D2" s="42">
        <v>1.48</v>
      </c>
      <c r="E2" s="42">
        <v>0.56000000000000005</v>
      </c>
      <c r="F2" s="42">
        <v>2.2999999999999998</v>
      </c>
      <c r="G2" s="42">
        <v>0.45</v>
      </c>
      <c r="K2" s="47">
        <f>($C$2*(D2/100))/3</f>
        <v>98.666666666666671</v>
      </c>
      <c r="L2" s="47">
        <f>($C$2*(E2/100))/3</f>
        <v>37.333333333333336</v>
      </c>
      <c r="M2" s="47">
        <f>($C$2*(F2/100))/3</f>
        <v>153.33333333333334</v>
      </c>
      <c r="N2" s="47">
        <f>($C$2*(G2/100))/3</f>
        <v>30.000000000000004</v>
      </c>
      <c r="P2" s="36" t="s">
        <v>200</v>
      </c>
    </row>
    <row r="3" spans="1:22" s="44" customFormat="1" x14ac:dyDescent="0.15">
      <c r="A3" s="43"/>
      <c r="B3" s="301" t="s">
        <v>152</v>
      </c>
      <c r="C3" s="301" t="s">
        <v>153</v>
      </c>
      <c r="D3" s="301" t="s">
        <v>154</v>
      </c>
      <c r="E3" s="301" t="s">
        <v>154</v>
      </c>
      <c r="F3" s="301" t="s">
        <v>154</v>
      </c>
      <c r="G3" s="301" t="s">
        <v>155</v>
      </c>
      <c r="H3" s="301" t="s">
        <v>155</v>
      </c>
      <c r="I3" s="302" t="s">
        <v>156</v>
      </c>
      <c r="J3" s="303"/>
      <c r="K3" s="301" t="s">
        <v>157</v>
      </c>
      <c r="L3" s="301" t="s">
        <v>157</v>
      </c>
      <c r="M3" s="301" t="s">
        <v>157</v>
      </c>
      <c r="N3" s="301" t="s">
        <v>157</v>
      </c>
      <c r="O3" s="301" t="s">
        <v>157</v>
      </c>
      <c r="P3"/>
      <c r="Q3" s="20"/>
      <c r="R3" s="20"/>
      <c r="S3" s="20"/>
    </row>
    <row r="4" spans="1:22" s="44" customFormat="1" x14ac:dyDescent="0.15">
      <c r="A4" s="43"/>
      <c r="B4" s="304"/>
      <c r="C4" s="301" t="s">
        <v>201</v>
      </c>
      <c r="D4" s="301" t="s">
        <v>158</v>
      </c>
      <c r="E4" s="301" t="s">
        <v>159</v>
      </c>
      <c r="F4" s="301" t="s">
        <v>160</v>
      </c>
      <c r="G4" s="301" t="s">
        <v>162</v>
      </c>
      <c r="H4" s="301" t="s">
        <v>161</v>
      </c>
      <c r="I4" s="301" t="s">
        <v>163</v>
      </c>
      <c r="J4" s="301" t="s">
        <v>163</v>
      </c>
      <c r="K4" s="301" t="s">
        <v>164</v>
      </c>
      <c r="L4" s="301" t="s">
        <v>165</v>
      </c>
      <c r="M4" s="301" t="s">
        <v>166</v>
      </c>
      <c r="N4" s="301" t="s">
        <v>167</v>
      </c>
      <c r="O4" s="301" t="s">
        <v>168</v>
      </c>
      <c r="P4"/>
      <c r="Q4" s="20"/>
      <c r="R4" s="20"/>
      <c r="S4" s="20"/>
      <c r="U4" s="330" t="s">
        <v>169</v>
      </c>
      <c r="V4" s="230">
        <v>9.8099999999999993E-3</v>
      </c>
    </row>
    <row r="5" spans="1:22" ht="15" x14ac:dyDescent="0.2">
      <c r="B5" s="309" t="s">
        <v>202</v>
      </c>
      <c r="C5" s="310">
        <v>3525</v>
      </c>
      <c r="D5" s="311">
        <v>6</v>
      </c>
      <c r="E5" s="311"/>
      <c r="F5" s="214"/>
      <c r="G5" s="312"/>
      <c r="H5" s="312"/>
      <c r="I5" s="313">
        <v>7</v>
      </c>
      <c r="J5" s="310">
        <v>5</v>
      </c>
      <c r="K5" s="311">
        <f>(C5/1000)*(D5/100)*(100/I5)*(100/J5)*1.2</f>
        <v>72.51428571428572</v>
      </c>
      <c r="L5" s="314"/>
      <c r="M5" s="315"/>
      <c r="N5" s="315"/>
      <c r="O5" s="315"/>
      <c r="P5" s="54"/>
      <c r="Q5" s="30"/>
      <c r="R5" s="30"/>
      <c r="S5" s="30"/>
      <c r="U5" s="330" t="s">
        <v>170</v>
      </c>
      <c r="V5" s="230">
        <v>1.02</v>
      </c>
    </row>
    <row r="6" spans="1:22" ht="15" x14ac:dyDescent="0.2">
      <c r="B6" s="309" t="s">
        <v>203</v>
      </c>
      <c r="C6" s="214">
        <v>2323</v>
      </c>
      <c r="D6" s="311">
        <v>2</v>
      </c>
      <c r="E6" s="311">
        <v>4</v>
      </c>
      <c r="F6" s="311">
        <v>6</v>
      </c>
      <c r="G6" s="312"/>
      <c r="H6" s="312"/>
      <c r="I6" s="313">
        <v>7</v>
      </c>
      <c r="J6" s="310">
        <v>5</v>
      </c>
      <c r="K6" s="311">
        <f>(C6/1000)*(D6/100)*(100/I6)*(100/J6)*1.12</f>
        <v>14.867200000000004</v>
      </c>
      <c r="L6" s="311">
        <f>(C6/1000)*(E6/100)*(100/I6)*(100/J6)*1.12</f>
        <v>29.734400000000008</v>
      </c>
      <c r="M6" s="311">
        <f>(C6/1000)*(F6/100)*(100/I6)*(100/J6)*1.12</f>
        <v>44.601600000000005</v>
      </c>
      <c r="N6" s="214"/>
      <c r="O6" s="214"/>
      <c r="P6" s="54"/>
      <c r="Q6" s="1"/>
      <c r="R6" s="30"/>
      <c r="S6" s="30"/>
      <c r="U6" s="330" t="s">
        <v>171</v>
      </c>
      <c r="V6" s="230">
        <v>25</v>
      </c>
    </row>
    <row r="7" spans="1:22" ht="16" thickBot="1" x14ac:dyDescent="0.25">
      <c r="B7" s="316" t="s">
        <v>204</v>
      </c>
      <c r="C7" s="317">
        <v>0</v>
      </c>
      <c r="D7" s="312">
        <v>10.199999999999999</v>
      </c>
      <c r="E7" s="312"/>
      <c r="F7" s="312"/>
      <c r="G7" s="312"/>
      <c r="H7" s="312"/>
      <c r="I7" s="318">
        <v>7</v>
      </c>
      <c r="J7" s="317">
        <v>5</v>
      </c>
      <c r="K7" s="314">
        <f>(C7/1000)*(D7/100)*(100/I7)*(100/J7)</f>
        <v>0</v>
      </c>
      <c r="L7" s="214"/>
      <c r="M7" s="214"/>
      <c r="N7" s="214"/>
      <c r="O7" s="214"/>
      <c r="P7" s="54"/>
      <c r="Q7" s="15"/>
      <c r="R7" s="30"/>
      <c r="S7" s="30"/>
      <c r="U7" s="330" t="s">
        <v>172</v>
      </c>
      <c r="V7" s="230">
        <v>1</v>
      </c>
    </row>
    <row r="8" spans="1:22" ht="14" thickBot="1" x14ac:dyDescent="0.2">
      <c r="B8" s="30"/>
      <c r="C8" s="30"/>
      <c r="D8" s="30"/>
      <c r="E8" s="30"/>
      <c r="F8" s="30"/>
      <c r="G8" s="30"/>
      <c r="H8" s="30"/>
      <c r="I8" s="44"/>
      <c r="J8" s="305" t="s">
        <v>179</v>
      </c>
      <c r="K8" s="306">
        <f>SUM(K5:K7)+K2</f>
        <v>186.04815238095239</v>
      </c>
      <c r="L8" s="307">
        <f>SUM(L5:L7)+L2</f>
        <v>67.067733333333337</v>
      </c>
      <c r="M8" s="308">
        <f>SUM(M5:M7)+M2</f>
        <v>197.93493333333333</v>
      </c>
      <c r="N8" s="308">
        <f>SUM(N5:N7)+N2</f>
        <v>30.000000000000004</v>
      </c>
      <c r="O8" s="308">
        <f>SUM(O5:O7)+O2</f>
        <v>0</v>
      </c>
      <c r="P8" s="299"/>
      <c r="Q8" s="299"/>
      <c r="R8" s="299"/>
      <c r="S8" s="300"/>
      <c r="U8" s="330" t="s">
        <v>173</v>
      </c>
      <c r="V8" s="230">
        <v>285</v>
      </c>
    </row>
    <row r="9" spans="1:22" ht="15" x14ac:dyDescent="0.2">
      <c r="B9" s="321" t="s">
        <v>277</v>
      </c>
      <c r="P9" s="54"/>
      <c r="Q9" s="47"/>
      <c r="R9" s="30"/>
      <c r="S9" s="30"/>
      <c r="U9" s="330" t="s">
        <v>174</v>
      </c>
      <c r="V9" s="230">
        <v>6</v>
      </c>
    </row>
    <row r="10" spans="1:22" ht="15" x14ac:dyDescent="0.2">
      <c r="B10" s="322" t="s">
        <v>205</v>
      </c>
      <c r="K10" s="319" t="s">
        <v>186</v>
      </c>
      <c r="L10" s="320">
        <f>(100/I5)*(100/J5)</f>
        <v>285.71428571428572</v>
      </c>
      <c r="M10" s="44"/>
      <c r="P10" s="54"/>
      <c r="Q10" s="15"/>
      <c r="R10" s="30"/>
      <c r="S10" s="30"/>
      <c r="U10" s="330" t="s">
        <v>175</v>
      </c>
      <c r="V10" s="230">
        <v>4</v>
      </c>
    </row>
    <row r="11" spans="1:22" ht="15" x14ac:dyDescent="0.2">
      <c r="A11" s="297" t="s">
        <v>197</v>
      </c>
      <c r="B11" s="413" t="s">
        <v>183</v>
      </c>
      <c r="C11" s="414"/>
      <c r="D11" s="323" t="s">
        <v>184</v>
      </c>
      <c r="E11" s="323" t="s">
        <v>185</v>
      </c>
      <c r="K11" s="54"/>
      <c r="L11" s="54"/>
      <c r="P11" s="54"/>
      <c r="Q11" s="15"/>
      <c r="R11" s="30"/>
      <c r="S11" s="30"/>
      <c r="U11" s="330" t="s">
        <v>176</v>
      </c>
      <c r="V11" s="331">
        <v>0.27</v>
      </c>
    </row>
    <row r="12" spans="1:22" ht="15" x14ac:dyDescent="0.2">
      <c r="B12" s="324" t="s">
        <v>199</v>
      </c>
      <c r="C12" s="325">
        <f>C2/3</f>
        <v>6666.666666666667</v>
      </c>
      <c r="D12" s="326">
        <v>3.5999999999999997E-2</v>
      </c>
      <c r="E12" s="327">
        <f>C12*D12</f>
        <v>240</v>
      </c>
      <c r="K12" s="54"/>
      <c r="L12" s="54"/>
      <c r="P12" s="54"/>
      <c r="Q12" s="15"/>
      <c r="R12" s="30"/>
      <c r="S12" s="30"/>
      <c r="U12" s="330" t="s">
        <v>177</v>
      </c>
      <c r="V12" s="230">
        <v>0.5625</v>
      </c>
    </row>
    <row r="13" spans="1:22" ht="15" x14ac:dyDescent="0.2">
      <c r="B13" s="328" t="s">
        <v>206</v>
      </c>
      <c r="C13" s="325">
        <f>C5*$L$10/1000</f>
        <v>1007.1428571428571</v>
      </c>
      <c r="D13" s="327">
        <v>1.2</v>
      </c>
      <c r="E13" s="327">
        <f>C13*D13</f>
        <v>1208.5714285714284</v>
      </c>
      <c r="F13" s="54"/>
      <c r="G13" s="54"/>
      <c r="H13" s="54"/>
      <c r="I13" s="54"/>
      <c r="J13" s="54"/>
      <c r="K13" s="54"/>
      <c r="L13" s="54"/>
      <c r="M13" s="54"/>
      <c r="N13" s="54"/>
      <c r="O13" s="54"/>
      <c r="P13" s="54"/>
      <c r="Q13" s="47"/>
      <c r="R13" s="30"/>
      <c r="S13" s="30"/>
      <c r="U13" s="332" t="s">
        <v>178</v>
      </c>
      <c r="V13" s="333">
        <f>(V4*V5*V6*V7*V8*V9*V10*Z19*V11)/(3600*V7*V12)</f>
        <v>209.12958000000009</v>
      </c>
    </row>
    <row r="14" spans="1:22" ht="15" x14ac:dyDescent="0.2">
      <c r="B14" s="328" t="s">
        <v>203</v>
      </c>
      <c r="C14" s="325">
        <f>C6*$L$10/1000</f>
        <v>663.71428571428567</v>
      </c>
      <c r="D14" s="327">
        <v>1.1499999999999999</v>
      </c>
      <c r="E14" s="327">
        <f>C14*D14</f>
        <v>763.27142857142849</v>
      </c>
      <c r="F14" s="54"/>
      <c r="G14" s="54"/>
      <c r="H14" s="54"/>
      <c r="I14" s="54"/>
      <c r="J14"/>
      <c r="K14" s="55"/>
      <c r="L14" s="55"/>
      <c r="M14" s="55"/>
      <c r="N14" s="55"/>
      <c r="O14" s="54"/>
      <c r="P14" s="54"/>
      <c r="Q14" s="1"/>
      <c r="R14" s="30"/>
      <c r="S14" s="30"/>
    </row>
    <row r="15" spans="1:22" ht="15" x14ac:dyDescent="0.2">
      <c r="B15" s="328" t="s">
        <v>207</v>
      </c>
      <c r="C15" s="325">
        <v>8.5</v>
      </c>
      <c r="D15" s="327">
        <v>9</v>
      </c>
      <c r="E15" s="327">
        <f>C15*D15</f>
        <v>76.5</v>
      </c>
      <c r="F15" s="54"/>
      <c r="G15" s="54"/>
      <c r="H15" s="54"/>
      <c r="I15" s="54"/>
      <c r="J15"/>
      <c r="K15" s="55"/>
      <c r="L15" s="55"/>
      <c r="M15" s="55"/>
      <c r="N15" s="55"/>
      <c r="O15" s="54"/>
      <c r="P15" s="54"/>
      <c r="Q15" s="30"/>
      <c r="R15" s="30"/>
      <c r="S15" s="30"/>
    </row>
    <row r="16" spans="1:22" ht="15" x14ac:dyDescent="0.2">
      <c r="B16" s="328" t="s">
        <v>208</v>
      </c>
      <c r="C16" s="325">
        <f>C15*2</f>
        <v>17</v>
      </c>
      <c r="D16" s="329">
        <v>1.75</v>
      </c>
      <c r="E16" s="327">
        <f>C16*D16</f>
        <v>29.75</v>
      </c>
      <c r="F16" s="54"/>
      <c r="G16" s="54"/>
      <c r="H16" s="54"/>
      <c r="I16" s="54"/>
      <c r="J16" s="54"/>
      <c r="K16" s="54"/>
      <c r="L16" s="54"/>
      <c r="M16" s="54"/>
      <c r="N16" s="54"/>
      <c r="O16" s="54"/>
      <c r="P16" s="54"/>
      <c r="Q16" s="59"/>
      <c r="R16" s="30"/>
      <c r="S16" s="30"/>
    </row>
    <row r="17" spans="1:26" ht="15" x14ac:dyDescent="0.2">
      <c r="E17" s="255">
        <f>SUM(E12:E16)</f>
        <v>2318.0928571428567</v>
      </c>
      <c r="F17" s="54"/>
      <c r="G17" s="54"/>
      <c r="H17" s="54"/>
      <c r="I17" s="54"/>
      <c r="J17" s="54"/>
      <c r="K17" s="56"/>
      <c r="L17" s="56"/>
      <c r="M17" s="56"/>
      <c r="N17" s="56"/>
      <c r="O17" s="54"/>
      <c r="P17" s="54"/>
    </row>
    <row r="18" spans="1:26" ht="15" x14ac:dyDescent="0.2">
      <c r="B18" s="54"/>
      <c r="C18" s="54"/>
      <c r="D18" s="54"/>
      <c r="E18" s="54"/>
      <c r="F18" s="54"/>
      <c r="G18" s="54"/>
      <c r="H18" s="54"/>
      <c r="I18" s="54"/>
      <c r="J18" s="54"/>
      <c r="K18" s="54"/>
      <c r="L18" s="54"/>
      <c r="M18" s="54"/>
      <c r="N18" s="54"/>
      <c r="O18" s="54"/>
      <c r="P18" s="54"/>
      <c r="U18" s="415" t="s">
        <v>180</v>
      </c>
      <c r="V18" s="416"/>
      <c r="W18" s="334" t="s">
        <v>114</v>
      </c>
      <c r="X18" s="335" t="s">
        <v>181</v>
      </c>
      <c r="Y18" s="335" t="s">
        <v>182</v>
      </c>
      <c r="Z18" s="335" t="s">
        <v>114</v>
      </c>
    </row>
    <row r="19" spans="1:26" x14ac:dyDescent="0.15">
      <c r="A19" s="58"/>
      <c r="B19"/>
      <c r="C19"/>
      <c r="D19"/>
      <c r="E19"/>
      <c r="F19"/>
      <c r="G19"/>
      <c r="H19"/>
      <c r="I19"/>
      <c r="J19"/>
      <c r="K19"/>
      <c r="L19"/>
      <c r="M19"/>
      <c r="N19"/>
      <c r="O19"/>
      <c r="P19"/>
      <c r="U19" s="336" t="s">
        <v>210</v>
      </c>
      <c r="V19" s="337">
        <v>5700</v>
      </c>
      <c r="W19" s="338">
        <f>V19/6.84</f>
        <v>833.33333333333337</v>
      </c>
      <c r="X19" s="338">
        <f>W19*1.1</f>
        <v>916.66666666666674</v>
      </c>
      <c r="Y19" s="339">
        <v>1</v>
      </c>
      <c r="Z19" s="340">
        <f>X19*Y19</f>
        <v>916.66666666666674</v>
      </c>
    </row>
    <row r="20" spans="1:26" ht="15" x14ac:dyDescent="0.2">
      <c r="B20" s="36" t="s">
        <v>209</v>
      </c>
      <c r="C20" s="57">
        <f>(5*6*L10)/1000</f>
        <v>8.571428571428573</v>
      </c>
      <c r="D20" s="54"/>
      <c r="E20"/>
      <c r="F20"/>
      <c r="G20"/>
      <c r="H20"/>
      <c r="I20"/>
      <c r="J20"/>
      <c r="K20"/>
      <c r="L20"/>
      <c r="M20"/>
      <c r="N20"/>
      <c r="O20"/>
      <c r="P20"/>
      <c r="U20" s="298"/>
      <c r="V20" s="298"/>
      <c r="W20" s="337" t="s">
        <v>187</v>
      </c>
      <c r="X20" s="298"/>
      <c r="Y20" s="298"/>
      <c r="Z20" s="298"/>
    </row>
    <row r="21" spans="1:26" x14ac:dyDescent="0.15">
      <c r="B21" s="46"/>
      <c r="C21" s="47"/>
      <c r="D21" s="35"/>
      <c r="E21" s="35"/>
      <c r="U21" s="50" t="s">
        <v>188</v>
      </c>
    </row>
    <row r="22" spans="1:26" x14ac:dyDescent="0.15">
      <c r="B22" s="46"/>
      <c r="C22" s="47"/>
      <c r="D22" s="35"/>
      <c r="E22" s="35"/>
      <c r="U22" s="50" t="s">
        <v>189</v>
      </c>
    </row>
    <row r="23" spans="1:26" x14ac:dyDescent="0.15">
      <c r="B23" s="46"/>
      <c r="C23" s="47"/>
      <c r="D23" s="35"/>
      <c r="E23" s="35"/>
    </row>
    <row r="24" spans="1:26" x14ac:dyDescent="0.15">
      <c r="B24" s="48"/>
      <c r="C24" s="31"/>
      <c r="D24" s="34"/>
      <c r="E24" s="34"/>
      <c r="U24" s="341" t="s">
        <v>190</v>
      </c>
      <c r="V24" s="342" t="s">
        <v>191</v>
      </c>
      <c r="W24" s="342" t="s">
        <v>192</v>
      </c>
    </row>
    <row r="25" spans="1:26" x14ac:dyDescent="0.15">
      <c r="B25" s="48"/>
      <c r="C25" s="31"/>
      <c r="D25" s="34"/>
      <c r="E25" s="34"/>
      <c r="U25" s="343" t="s">
        <v>193</v>
      </c>
      <c r="V25" s="344">
        <v>37.5</v>
      </c>
      <c r="W25" s="344">
        <v>65</v>
      </c>
    </row>
    <row r="26" spans="1:26" x14ac:dyDescent="0.15">
      <c r="B26" s="46"/>
      <c r="C26" s="47"/>
      <c r="D26" s="35"/>
      <c r="E26" s="35"/>
      <c r="U26" s="343" t="s">
        <v>194</v>
      </c>
      <c r="V26" s="344">
        <v>34.15</v>
      </c>
      <c r="W26" s="344">
        <v>120</v>
      </c>
    </row>
    <row r="27" spans="1:26" x14ac:dyDescent="0.15">
      <c r="B27" s="48"/>
      <c r="C27" s="31"/>
      <c r="D27" s="34"/>
      <c r="E27" s="34"/>
      <c r="U27" s="343" t="s">
        <v>195</v>
      </c>
      <c r="V27" s="344">
        <v>80</v>
      </c>
      <c r="W27" s="344">
        <v>44.25</v>
      </c>
    </row>
    <row r="28" spans="1:26" ht="14" x14ac:dyDescent="0.15">
      <c r="B28" s="46"/>
      <c r="C28" s="51"/>
      <c r="D28" s="35"/>
      <c r="E28" s="35"/>
      <c r="F28" s="50"/>
      <c r="U28" s="417" t="s">
        <v>196</v>
      </c>
      <c r="V28" s="418"/>
      <c r="W28" s="345">
        <f>SUM(V25:W27)</f>
        <v>380.9</v>
      </c>
    </row>
    <row r="29" spans="1:26" x14ac:dyDescent="0.15">
      <c r="B29" s="46"/>
      <c r="C29" s="47"/>
      <c r="D29" s="35"/>
      <c r="E29" s="35"/>
      <c r="U29" s="60" t="s">
        <v>212</v>
      </c>
    </row>
    <row r="30" spans="1:26" x14ac:dyDescent="0.15">
      <c r="B30" s="44"/>
      <c r="C30" s="44"/>
      <c r="D30" s="44"/>
      <c r="E30" s="49"/>
    </row>
  </sheetData>
  <sheetProtection password="CDAD" sheet="1"/>
  <mergeCells count="3">
    <mergeCell ref="B11:C11"/>
    <mergeCell ref="U18:V18"/>
    <mergeCell ref="U28:V28"/>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COSTES LIMÓN FINO ECO</vt:lpstr>
      <vt:lpstr>AYUDA-1</vt:lpstr>
      <vt:lpstr>AYUDA-2</vt:lpstr>
      <vt:lpstr>'COSTES LIMÓN FINO ECO'!Área_de_impresión</vt:lpstr>
    </vt:vector>
  </TitlesOfParts>
  <Company>Intersa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Usuario 01</cp:lastModifiedBy>
  <dcterms:created xsi:type="dcterms:W3CDTF">2016-12-15T15:44:47Z</dcterms:created>
  <dcterms:modified xsi:type="dcterms:W3CDTF">2024-08-01T10:33:45Z</dcterms:modified>
</cp:coreProperties>
</file>